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4"/>
  <workbookPr hidePivotFieldList="1" defaultThemeVersion="124226"/>
  <mc:AlternateContent xmlns:mc="http://schemas.openxmlformats.org/markup-compatibility/2006">
    <mc:Choice Requires="x15">
      <x15ac:absPath xmlns:x15ac="http://schemas.microsoft.com/office/spreadsheetml/2010/11/ac" url="C:\Users\Johanna\Desktop\AND 2022\Riesgos 2022\"/>
    </mc:Choice>
  </mc:AlternateContent>
  <xr:revisionPtr revIDLastSave="0" documentId="13_ncr:1_{C851AF24-E963-4C48-B129-CFFE2937A283}" xr6:coauthVersionLast="47" xr6:coauthVersionMax="47" xr10:uidLastSave="{00000000-0000-0000-0000-000000000000}"/>
  <bookViews>
    <workbookView xWindow="-120" yWindow="-120" windowWidth="29040" windowHeight="15720" tabRatio="868" firstSheet="1"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1" hidden="1">'Mapa final'!$A$13:$AR$63</definedName>
  </definedNames>
  <calcPr calcId="191028"/>
  <pivotCaches>
    <pivotCache cacheId="12559"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19" l="1"/>
  <c r="R37" i="18"/>
  <c r="R73" i="1"/>
  <c r="S73" i="1" s="1"/>
  <c r="T73" i="1" s="1"/>
  <c r="AI73" i="1" s="1"/>
  <c r="AH73" i="1" s="1"/>
  <c r="O73" i="1"/>
  <c r="P73" i="1" s="1"/>
  <c r="AE73" i="1" s="1"/>
  <c r="AF73" i="1" s="1"/>
  <c r="AJ73" i="1" s="1"/>
  <c r="R72" i="1"/>
  <c r="S72" i="1" s="1"/>
  <c r="T72" i="1" s="1"/>
  <c r="AI72" i="1" s="1"/>
  <c r="AH72" i="1" s="1"/>
  <c r="O72" i="1"/>
  <c r="R36" i="18" s="1"/>
  <c r="AG48" i="1"/>
  <c r="AF48" i="1"/>
  <c r="AG73" i="1" l="1"/>
  <c r="U73" i="1"/>
  <c r="U72" i="1"/>
  <c r="P72" i="1"/>
  <c r="AE72" i="1" s="1"/>
  <c r="AG72" i="1" s="1"/>
  <c r="AA37" i="1"/>
  <c r="X37" i="1"/>
  <c r="AA35" i="1"/>
  <c r="X35" i="1"/>
  <c r="R69" i="1"/>
  <c r="S69" i="1" s="1"/>
  <c r="O69" i="1"/>
  <c r="P69" i="1" l="1"/>
  <c r="P34" i="18"/>
  <c r="AF72" i="1"/>
  <c r="U69" i="1"/>
  <c r="T69" i="1"/>
  <c r="AJ72" i="1" l="1"/>
  <c r="T44" i="19"/>
  <c r="AA70" i="1"/>
  <c r="X70" i="1"/>
  <c r="O70" i="1"/>
  <c r="R35" i="18" s="1"/>
  <c r="R70" i="1"/>
  <c r="S70" i="1" s="1"/>
  <c r="T70" i="1" s="1"/>
  <c r="AI70" i="1" l="1"/>
  <c r="AH70" i="1" s="1"/>
  <c r="U70" i="1"/>
  <c r="P70" i="1"/>
  <c r="AE70" i="1" s="1"/>
  <c r="AF70" i="1" l="1"/>
  <c r="AG70" i="1"/>
  <c r="AJ70" i="1" l="1"/>
  <c r="T45" i="19"/>
  <c r="AG41" i="1"/>
  <c r="AF41" i="1"/>
  <c r="X40" i="1"/>
  <c r="AA40" i="1"/>
  <c r="X41" i="1"/>
  <c r="AA41" i="1"/>
  <c r="F30" i="15"/>
  <c r="F29" i="15"/>
  <c r="D30" i="15"/>
  <c r="X43" i="1"/>
  <c r="AA71" i="1"/>
  <c r="X71" i="1"/>
  <c r="R71" i="1"/>
  <c r="S71" i="1" s="1"/>
  <c r="O71" i="1"/>
  <c r="O40" i="1"/>
  <c r="P71" i="1" l="1"/>
  <c r="X42" i="18"/>
  <c r="AG40" i="1"/>
  <c r="AF40" i="1"/>
  <c r="AE71" i="1"/>
  <c r="T71" i="1"/>
  <c r="AI71" i="1" s="1"/>
  <c r="AH71" i="1" s="1"/>
  <c r="U71" i="1"/>
  <c r="AF71" i="1" l="1"/>
  <c r="AG71" i="1"/>
  <c r="AJ71" i="1" l="1"/>
  <c r="W55" i="19"/>
  <c r="X39" i="1"/>
  <c r="X38" i="1"/>
  <c r="X36" i="1"/>
  <c r="X34" i="1"/>
  <c r="X33" i="1"/>
  <c r="X69" i="1"/>
  <c r="AA69" i="1"/>
  <c r="AI69" i="1" l="1"/>
  <c r="AH69" i="1" s="1"/>
  <c r="AE69" i="1"/>
  <c r="AG69" i="1" l="1"/>
  <c r="AF69" i="1"/>
  <c r="AJ69" i="1" l="1"/>
  <c r="S51" i="19"/>
  <c r="O39" i="1"/>
  <c r="R39" i="1"/>
  <c r="S39" i="1" s="1"/>
  <c r="O36" i="1"/>
  <c r="R36" i="1"/>
  <c r="S36" i="1" s="1"/>
  <c r="T36" i="1" s="1"/>
  <c r="AI36" i="1" s="1"/>
  <c r="O38" i="1"/>
  <c r="R38" i="1"/>
  <c r="S38" i="1" s="1"/>
  <c r="T38" i="1" s="1"/>
  <c r="AI38" i="1" s="1"/>
  <c r="AH38" i="1" s="1"/>
  <c r="O34" i="1"/>
  <c r="R34" i="1"/>
  <c r="S34" i="1" s="1"/>
  <c r="T34" i="1" s="1"/>
  <c r="AI34" i="1" s="1"/>
  <c r="R33" i="1"/>
  <c r="S33" i="1" s="1"/>
  <c r="T33" i="1" s="1"/>
  <c r="AI33" i="1" s="1"/>
  <c r="AH33" i="1" s="1"/>
  <c r="O33" i="1"/>
  <c r="X67" i="1"/>
  <c r="AA67" i="1"/>
  <c r="O67" i="1"/>
  <c r="P67" i="1" s="1"/>
  <c r="R67" i="1"/>
  <c r="S67" i="1" s="1"/>
  <c r="T67" i="1" s="1"/>
  <c r="X66" i="1"/>
  <c r="AA66" i="1"/>
  <c r="R66" i="1"/>
  <c r="S66" i="1" s="1"/>
  <c r="T66" i="1" s="1"/>
  <c r="O66" i="1"/>
  <c r="X65" i="1"/>
  <c r="AA65" i="1"/>
  <c r="O65" i="1"/>
  <c r="P65" i="1" s="1"/>
  <c r="R65" i="1"/>
  <c r="S65" i="1" s="1"/>
  <c r="X64" i="1"/>
  <c r="AA64" i="1"/>
  <c r="O64" i="1"/>
  <c r="P64" i="1" s="1"/>
  <c r="R64" i="1"/>
  <c r="S64" i="1" s="1"/>
  <c r="T64" i="1" s="1"/>
  <c r="P38" i="1" l="1"/>
  <c r="AE38" i="1" s="1"/>
  <c r="AD32" i="18"/>
  <c r="P36" i="1"/>
  <c r="AE36" i="1" s="1"/>
  <c r="X32" i="18"/>
  <c r="X22" i="18"/>
  <c r="P39" i="1"/>
  <c r="AE39" i="1" s="1"/>
  <c r="AF39" i="1" s="1"/>
  <c r="X34" i="18"/>
  <c r="P34" i="1"/>
  <c r="AE34" i="1" s="1"/>
  <c r="X30" i="18"/>
  <c r="AH36" i="1"/>
  <c r="AI37" i="1"/>
  <c r="AH37" i="1" s="1"/>
  <c r="AH34" i="1"/>
  <c r="AI35" i="1"/>
  <c r="AH35" i="1" s="1"/>
  <c r="AF38" i="1"/>
  <c r="AG38" i="1"/>
  <c r="AF34" i="1"/>
  <c r="AG34" i="1"/>
  <c r="AE35" i="1" s="1"/>
  <c r="AF36" i="1"/>
  <c r="AG36" i="1"/>
  <c r="AE37" i="1" s="1"/>
  <c r="AG39" i="1"/>
  <c r="T39" i="1"/>
  <c r="AI39" i="1" s="1"/>
  <c r="U39" i="1"/>
  <c r="U38" i="1"/>
  <c r="U36" i="1"/>
  <c r="U34" i="1"/>
  <c r="U33" i="1"/>
  <c r="P33" i="1"/>
  <c r="AE33" i="1" s="1"/>
  <c r="AI66" i="1"/>
  <c r="AH66" i="1" s="1"/>
  <c r="AE64" i="1"/>
  <c r="AG64" i="1" s="1"/>
  <c r="Z38" i="18"/>
  <c r="X38" i="18"/>
  <c r="Y38" i="18"/>
  <c r="AI64" i="1"/>
  <c r="AH64" i="1" s="1"/>
  <c r="AA38" i="18"/>
  <c r="AE65" i="1"/>
  <c r="AF65" i="1" s="1"/>
  <c r="AE67" i="1"/>
  <c r="AF67" i="1" s="1"/>
  <c r="AI67" i="1"/>
  <c r="AH67" i="1" s="1"/>
  <c r="U67" i="1"/>
  <c r="U66" i="1"/>
  <c r="P66" i="1"/>
  <c r="AE66" i="1" s="1"/>
  <c r="AG66" i="1" s="1"/>
  <c r="T65" i="1"/>
  <c r="AI65" i="1" s="1"/>
  <c r="AH65" i="1" s="1"/>
  <c r="U65" i="1"/>
  <c r="U64" i="1"/>
  <c r="S44" i="19"/>
  <c r="R32" i="1"/>
  <c r="R31" i="1"/>
  <c r="S31" i="1" s="1"/>
  <c r="T31" i="1" s="1"/>
  <c r="O31" i="1"/>
  <c r="X51" i="19" l="1"/>
  <c r="AJ34" i="1"/>
  <c r="X55" i="19"/>
  <c r="AJ38" i="1"/>
  <c r="AD50" i="19"/>
  <c r="AB32" i="18"/>
  <c r="AJ36" i="1"/>
  <c r="X54" i="19"/>
  <c r="AG37" i="1"/>
  <c r="AF37" i="1"/>
  <c r="AJ37" i="1" s="1"/>
  <c r="AF35" i="1"/>
  <c r="AJ35" i="1" s="1"/>
  <c r="AG35" i="1"/>
  <c r="AH39" i="1"/>
  <c r="AJ39" i="1" s="1"/>
  <c r="AF33" i="1"/>
  <c r="AG33" i="1"/>
  <c r="AF64" i="1"/>
  <c r="X53" i="19" s="1"/>
  <c r="AA53" i="19"/>
  <c r="AG65" i="1"/>
  <c r="Y53" i="19"/>
  <c r="AM35" i="18"/>
  <c r="AF66" i="1"/>
  <c r="AG67" i="1"/>
  <c r="AJ67" i="1"/>
  <c r="AJ65" i="1"/>
  <c r="U31" i="1"/>
  <c r="P31" i="1"/>
  <c r="AJ33" i="1" l="1"/>
  <c r="X44" i="19"/>
  <c r="AJ64" i="1"/>
  <c r="AJ66" i="1"/>
  <c r="Z53" i="19"/>
  <c r="R62" i="1"/>
  <c r="S62" i="1" s="1"/>
  <c r="T62" i="1" s="1"/>
  <c r="O62" i="1"/>
  <c r="AA50" i="1"/>
  <c r="X50" i="1"/>
  <c r="R58" i="1"/>
  <c r="S58" i="1" s="1"/>
  <c r="T58" i="1" s="1"/>
  <c r="O58" i="1"/>
  <c r="R48" i="1"/>
  <c r="S48" i="1" s="1"/>
  <c r="T48" i="1" s="1"/>
  <c r="O48" i="1"/>
  <c r="R52" i="1"/>
  <c r="S52" i="1" s="1"/>
  <c r="T52" i="1" s="1"/>
  <c r="O52" i="1"/>
  <c r="R50" i="1"/>
  <c r="S50" i="1" s="1"/>
  <c r="T50" i="1" s="1"/>
  <c r="O50" i="1"/>
  <c r="R49" i="1"/>
  <c r="S49" i="1" s="1"/>
  <c r="T49" i="1" s="1"/>
  <c r="O49" i="1"/>
  <c r="AA23" i="1"/>
  <c r="X23" i="1"/>
  <c r="T22" i="18" l="1"/>
  <c r="T26" i="18"/>
  <c r="T36" i="18"/>
  <c r="R22" i="18"/>
  <c r="T44" i="18"/>
  <c r="P58" i="1"/>
  <c r="Z44" i="18"/>
  <c r="AI50" i="1"/>
  <c r="AH50" i="1" s="1"/>
  <c r="X28" i="18"/>
  <c r="U62" i="1"/>
  <c r="P62" i="1"/>
  <c r="U58" i="1"/>
  <c r="U48" i="1"/>
  <c r="P48" i="1"/>
  <c r="U50" i="1"/>
  <c r="U52" i="1"/>
  <c r="P52" i="1"/>
  <c r="P50" i="1"/>
  <c r="AE50" i="1" s="1"/>
  <c r="AF50" i="1" s="1"/>
  <c r="U49" i="1"/>
  <c r="P49" i="1"/>
  <c r="T41" i="19" l="1"/>
  <c r="AG50" i="1"/>
  <c r="AJ50" i="1"/>
  <c r="R57" i="1" l="1"/>
  <c r="R56" i="1"/>
  <c r="S56" i="1" s="1"/>
  <c r="T56" i="1" s="1"/>
  <c r="O56" i="1"/>
  <c r="T30" i="18" l="1"/>
  <c r="U56" i="1"/>
  <c r="P56" i="1"/>
  <c r="AA31" i="1" l="1"/>
  <c r="X31" i="1"/>
  <c r="R60" i="1" l="1"/>
  <c r="S60" i="1" s="1"/>
  <c r="T60" i="1" s="1"/>
  <c r="O60" i="1"/>
  <c r="R59" i="1"/>
  <c r="S59" i="1" s="1"/>
  <c r="T59" i="1" s="1"/>
  <c r="O59" i="1"/>
  <c r="R17" i="1"/>
  <c r="S17" i="1" s="1"/>
  <c r="T17" i="1" s="1"/>
  <c r="AI41" i="1" s="1"/>
  <c r="AH41" i="1" s="1"/>
  <c r="AJ41" i="1" s="1"/>
  <c r="O17" i="1"/>
  <c r="R16" i="1"/>
  <c r="S16" i="1" s="1"/>
  <c r="T16" i="1" s="1"/>
  <c r="O16" i="1"/>
  <c r="N6" i="18" l="1"/>
  <c r="Z28" i="18"/>
  <c r="AL24" i="18"/>
  <c r="AJ24" i="18"/>
  <c r="Z26" i="18"/>
  <c r="U60" i="1"/>
  <c r="P60" i="1"/>
  <c r="U59" i="1"/>
  <c r="P59" i="1"/>
  <c r="U17" i="1"/>
  <c r="P17" i="1"/>
  <c r="U16" i="1"/>
  <c r="P16" i="1"/>
  <c r="R28" i="1" l="1"/>
  <c r="R27" i="1"/>
  <c r="S27" i="1" s="1"/>
  <c r="T27" i="1" s="1"/>
  <c r="O27" i="1"/>
  <c r="R24" i="1"/>
  <c r="S24" i="1" s="1"/>
  <c r="T24" i="1" s="1"/>
  <c r="O24" i="1"/>
  <c r="AJ26" i="18" l="1"/>
  <c r="AL26" i="18"/>
  <c r="U27" i="1"/>
  <c r="P27" i="1"/>
  <c r="U24" i="1"/>
  <c r="P24" i="1"/>
  <c r="R63" i="1" l="1"/>
  <c r="S63" i="1" s="1"/>
  <c r="T63" i="1" s="1"/>
  <c r="O63" i="1"/>
  <c r="X46" i="1"/>
  <c r="D25" i="15"/>
  <c r="D24" i="15"/>
  <c r="AA45" i="1"/>
  <c r="X45" i="1"/>
  <c r="AA44" i="1"/>
  <c r="X44" i="1"/>
  <c r="AA43" i="1"/>
  <c r="X42" i="1"/>
  <c r="O46" i="1"/>
  <c r="R46" i="1"/>
  <c r="S46" i="1" s="1"/>
  <c r="T46" i="1" s="1"/>
  <c r="O42" i="1"/>
  <c r="R42" i="1"/>
  <c r="S42" i="1" s="1"/>
  <c r="T42" i="1" s="1"/>
  <c r="P46" i="1" l="1"/>
  <c r="Z20" i="18"/>
  <c r="P42" i="1"/>
  <c r="AE42" i="1" s="1"/>
  <c r="AF12" i="18"/>
  <c r="AI46" i="1"/>
  <c r="AH46" i="1" s="1"/>
  <c r="X20" i="18"/>
  <c r="U63" i="1"/>
  <c r="P63" i="1"/>
  <c r="AE46" i="1"/>
  <c r="AI42" i="1"/>
  <c r="AH42" i="1" s="1"/>
  <c r="U46" i="1"/>
  <c r="U42" i="1"/>
  <c r="AF46" i="1" l="1"/>
  <c r="AG46" i="1"/>
  <c r="AI43" i="1"/>
  <c r="AH43" i="1" s="1"/>
  <c r="AF42" i="1"/>
  <c r="AJ42" i="1" s="1"/>
  <c r="AG42" i="1"/>
  <c r="AE43" i="1" s="1"/>
  <c r="AF43" i="1" s="1"/>
  <c r="AJ46" i="1" l="1"/>
  <c r="AA37" i="19"/>
  <c r="AJ43" i="1"/>
  <c r="AI45" i="1"/>
  <c r="AH45" i="1" s="1"/>
  <c r="AI44" i="1"/>
  <c r="AH44" i="1" s="1"/>
  <c r="AG43" i="1"/>
  <c r="AE44" i="1" s="1"/>
  <c r="AF44" i="1" l="1"/>
  <c r="AJ44" i="1" s="1"/>
  <c r="AG44" i="1"/>
  <c r="AE45" i="1" s="1"/>
  <c r="AF45" i="1" l="1"/>
  <c r="AG45" i="1"/>
  <c r="AJ45" i="1" l="1"/>
  <c r="Z45" i="19"/>
  <c r="AA63" i="1"/>
  <c r="X63" i="1"/>
  <c r="X62" i="1"/>
  <c r="AA62" i="1"/>
  <c r="X60" i="1"/>
  <c r="AA60" i="1"/>
  <c r="X61" i="1"/>
  <c r="AA61" i="1"/>
  <c r="X59" i="1"/>
  <c r="AA59" i="1"/>
  <c r="AI60" i="1" l="1"/>
  <c r="AH60" i="1" s="1"/>
  <c r="AI63" i="1"/>
  <c r="AH63" i="1" s="1"/>
  <c r="AE60" i="1"/>
  <c r="AG60" i="1" s="1"/>
  <c r="AE61" i="1" s="1"/>
  <c r="AF61" i="1" s="1"/>
  <c r="AE62" i="1"/>
  <c r="AG62" i="1" s="1"/>
  <c r="AE59" i="1"/>
  <c r="AF59" i="1" s="1"/>
  <c r="AI62" i="1"/>
  <c r="AH62" i="1" s="1"/>
  <c r="AE63" i="1"/>
  <c r="AI59" i="1"/>
  <c r="AH59" i="1" s="1"/>
  <c r="W45" i="19" l="1"/>
  <c r="AI61" i="1"/>
  <c r="AH61" i="1" s="1"/>
  <c r="AJ61" i="1" s="1"/>
  <c r="AF62" i="1"/>
  <c r="AF60" i="1"/>
  <c r="AJ60" i="1" s="1"/>
  <c r="AG61" i="1"/>
  <c r="AJ59" i="1"/>
  <c r="AG59" i="1"/>
  <c r="AF63" i="1"/>
  <c r="AG63" i="1"/>
  <c r="Y47" i="19" l="1"/>
  <c r="AJ62" i="1"/>
  <c r="X45" i="19"/>
  <c r="AJ63" i="1"/>
  <c r="Z36" i="19"/>
  <c r="AA58" i="1"/>
  <c r="X58" i="1"/>
  <c r="AI58" i="1" s="1"/>
  <c r="AH58" i="1" s="1"/>
  <c r="AA57" i="1"/>
  <c r="X57" i="1"/>
  <c r="AA56" i="1"/>
  <c r="X56" i="1"/>
  <c r="R55" i="1"/>
  <c r="R54" i="1"/>
  <c r="AA53" i="1"/>
  <c r="X53" i="1"/>
  <c r="R53" i="1"/>
  <c r="S53" i="1" s="1"/>
  <c r="T53" i="1" s="1"/>
  <c r="O53" i="1"/>
  <c r="AA52" i="1"/>
  <c r="X52" i="1"/>
  <c r="AA49" i="1"/>
  <c r="X49" i="1"/>
  <c r="AA48" i="1"/>
  <c r="X48" i="1"/>
  <c r="AI48" i="1" s="1"/>
  <c r="AH48" i="1" s="1"/>
  <c r="AJ48" i="1" s="1"/>
  <c r="R40" i="1"/>
  <c r="S40" i="1" s="1"/>
  <c r="T40" i="1" s="1"/>
  <c r="AI40" i="1" s="1"/>
  <c r="AH40" i="1" s="1"/>
  <c r="AJ40" i="1" s="1"/>
  <c r="AI31" i="1"/>
  <c r="AH31" i="1" s="1"/>
  <c r="X30" i="1"/>
  <c r="AA30" i="1"/>
  <c r="R30" i="1"/>
  <c r="S30" i="1" s="1"/>
  <c r="T30" i="1" s="1"/>
  <c r="O30" i="1"/>
  <c r="R28" i="18" l="1"/>
  <c r="N12" i="18"/>
  <c r="AI52" i="1"/>
  <c r="AE52" i="1"/>
  <c r="AI53" i="1"/>
  <c r="AH53" i="1" s="1"/>
  <c r="AI56" i="1"/>
  <c r="AH56" i="1" s="1"/>
  <c r="T28" i="18"/>
  <c r="AE49" i="1"/>
  <c r="AI49" i="1"/>
  <c r="R30" i="18"/>
  <c r="AE58" i="1"/>
  <c r="AE56" i="1"/>
  <c r="U53" i="1"/>
  <c r="P53" i="1"/>
  <c r="AE53" i="1" s="1"/>
  <c r="U40" i="1"/>
  <c r="P40" i="1"/>
  <c r="AE31" i="1"/>
  <c r="U30" i="1"/>
  <c r="P30" i="1"/>
  <c r="AI57" i="1" l="1"/>
  <c r="AH57" i="1" s="1"/>
  <c r="AF31" i="1"/>
  <c r="AC50" i="19" s="1"/>
  <c r="AG31" i="1"/>
  <c r="AF58" i="1"/>
  <c r="AG58" i="1"/>
  <c r="AF56" i="1"/>
  <c r="AJ56" i="1" s="1"/>
  <c r="AG56" i="1"/>
  <c r="AE57" i="1" s="1"/>
  <c r="AG57" i="1" s="1"/>
  <c r="AG53" i="1"/>
  <c r="AF53" i="1"/>
  <c r="AF52" i="1"/>
  <c r="AG52" i="1"/>
  <c r="AF49" i="1"/>
  <c r="AG49" i="1"/>
  <c r="AF57" i="1" l="1"/>
  <c r="T54" i="19" s="1"/>
  <c r="AJ58" i="1"/>
  <c r="Y55" i="19"/>
  <c r="AJ53" i="1"/>
  <c r="R51" i="19"/>
  <c r="T42" i="19"/>
  <c r="AJ31" i="1"/>
  <c r="AK44" i="19"/>
  <c r="AJ57" i="1"/>
  <c r="J44" i="19"/>
  <c r="X16" i="1"/>
  <c r="AA16" i="1"/>
  <c r="AE16" i="1" l="1"/>
  <c r="AF16" i="1" s="1"/>
  <c r="O15" i="1"/>
  <c r="AG16" i="1" l="1"/>
  <c r="P15" i="1"/>
  <c r="X15" i="1"/>
  <c r="R20" i="1"/>
  <c r="R22" i="1"/>
  <c r="R21" i="1"/>
  <c r="R26" i="1"/>
  <c r="AE15" i="1" l="1"/>
  <c r="F221" i="13"/>
  <c r="F211" i="13"/>
  <c r="F212" i="13"/>
  <c r="F213" i="13"/>
  <c r="F214" i="13"/>
  <c r="F215" i="13"/>
  <c r="F216" i="13"/>
  <c r="F217" i="13"/>
  <c r="F218" i="13"/>
  <c r="F219" i="13"/>
  <c r="F220" i="13"/>
  <c r="F210" i="13"/>
  <c r="B221" i="13" a="1"/>
  <c r="B221" i="13" l="1"/>
  <c r="X25" i="1"/>
  <c r="AJ44" i="18" l="1"/>
  <c r="AD44" i="18"/>
  <c r="X44" i="18"/>
  <c r="R44" i="18"/>
  <c r="L44" i="18"/>
  <c r="AJ36" i="18"/>
  <c r="AD36" i="18"/>
  <c r="X36" i="18"/>
  <c r="L36" i="18"/>
  <c r="AD28" i="18"/>
  <c r="L28" i="18"/>
  <c r="AJ20" i="18"/>
  <c r="AD20" i="18"/>
  <c r="L20" i="18"/>
  <c r="AJ12" i="18"/>
  <c r="AD12" i="18"/>
  <c r="X12" i="18"/>
  <c r="R12" i="18"/>
  <c r="L12" i="18"/>
  <c r="H210" i="13"/>
  <c r="AA29" i="1" l="1"/>
  <c r="X29" i="1"/>
  <c r="O29" i="1"/>
  <c r="AA28" i="1"/>
  <c r="X28" i="1"/>
  <c r="AA27" i="1"/>
  <c r="X27" i="1"/>
  <c r="AA25" i="1"/>
  <c r="O25" i="1"/>
  <c r="AA24" i="1"/>
  <c r="X24" i="1"/>
  <c r="O23" i="1"/>
  <c r="P23" i="1" s="1"/>
  <c r="AE23" i="1" s="1"/>
  <c r="AA19" i="1"/>
  <c r="X19" i="1"/>
  <c r="O19" i="1"/>
  <c r="AA18" i="1"/>
  <c r="X18" i="1"/>
  <c r="AA17" i="1"/>
  <c r="X17" i="1"/>
  <c r="AE17" i="1" l="1"/>
  <c r="AF17" i="1" s="1"/>
  <c r="AE27" i="1"/>
  <c r="P29" i="1"/>
  <c r="AE29" i="1" s="1"/>
  <c r="P25" i="1"/>
  <c r="AE25" i="1" s="1"/>
  <c r="AF23" i="1"/>
  <c r="AG23" i="1"/>
  <c r="P19" i="1"/>
  <c r="AE19" i="1" s="1"/>
  <c r="AF19" i="1" s="1"/>
  <c r="AE24" i="1"/>
  <c r="AF29" i="1" l="1"/>
  <c r="AG29" i="1"/>
  <c r="AF27" i="1"/>
  <c r="AG27" i="1"/>
  <c r="AE28" i="1" s="1"/>
  <c r="AF25" i="1"/>
  <c r="AG25" i="1"/>
  <c r="AF24" i="1"/>
  <c r="AG24" i="1"/>
  <c r="AG19" i="1"/>
  <c r="AG17" i="1"/>
  <c r="AE18" i="1" s="1"/>
  <c r="AG28" i="1" l="1"/>
  <c r="AF28" i="1"/>
  <c r="AG18" i="1"/>
  <c r="AF18" i="1"/>
  <c r="AF15" i="1" l="1"/>
  <c r="AG15" i="1" l="1"/>
  <c r="R23" i="1" l="1"/>
  <c r="S23" i="1" s="1"/>
  <c r="R25" i="1"/>
  <c r="S25" i="1" s="1"/>
  <c r="X26" i="18" s="1"/>
  <c r="R19" i="1"/>
  <c r="S19" i="1" s="1"/>
  <c r="R32" i="18" s="1"/>
  <c r="R29" i="1"/>
  <c r="S29" i="1" s="1"/>
  <c r="R15" i="1"/>
  <c r="S15" i="1" s="1"/>
  <c r="AJ22" i="18" l="1"/>
  <c r="AL22" i="18"/>
  <c r="AJ28" i="18"/>
  <c r="AL28" i="18"/>
  <c r="L24" i="18"/>
  <c r="Z42" i="18"/>
  <c r="N42" i="18"/>
  <c r="AF26" i="18"/>
  <c r="N26" i="18"/>
  <c r="AF18" i="18"/>
  <c r="T10" i="18"/>
  <c r="N34" i="18"/>
  <c r="T34" i="18"/>
  <c r="T18" i="18"/>
  <c r="Z18" i="18"/>
  <c r="Z10" i="18"/>
  <c r="AL18" i="18"/>
  <c r="T42" i="18"/>
  <c r="AF34" i="18"/>
  <c r="AL10" i="18"/>
  <c r="N18" i="18"/>
  <c r="N10" i="18"/>
  <c r="AL34" i="18"/>
  <c r="AL42" i="18"/>
  <c r="AF10" i="18"/>
  <c r="Z34" i="18"/>
  <c r="AF42" i="18"/>
  <c r="AJ34" i="18"/>
  <c r="R42" i="18"/>
  <c r="X10" i="18"/>
  <c r="L42" i="18"/>
  <c r="R18" i="18"/>
  <c r="R26" i="18"/>
  <c r="L34" i="18"/>
  <c r="AD18" i="18"/>
  <c r="AD34" i="18"/>
  <c r="L26" i="18"/>
  <c r="AJ10" i="18"/>
  <c r="T25" i="1"/>
  <c r="AJ42" i="18"/>
  <c r="AJ18" i="18"/>
  <c r="AD26" i="18"/>
  <c r="L10" i="18"/>
  <c r="AD10" i="18"/>
  <c r="X18" i="18"/>
  <c r="AD42" i="18"/>
  <c r="L18" i="18"/>
  <c r="R10" i="18"/>
  <c r="U25" i="1"/>
  <c r="T29" i="1"/>
  <c r="AB36" i="18"/>
  <c r="AH12" i="18"/>
  <c r="P28" i="18"/>
  <c r="AH20" i="18"/>
  <c r="P36" i="18"/>
  <c r="V12" i="18"/>
  <c r="AH28" i="18"/>
  <c r="AB20" i="18"/>
  <c r="J12" i="18"/>
  <c r="J20" i="18"/>
  <c r="U29" i="1"/>
  <c r="P44" i="18"/>
  <c r="AB44" i="18"/>
  <c r="V28" i="18"/>
  <c r="V36" i="18"/>
  <c r="J28" i="18"/>
  <c r="AH36" i="18"/>
  <c r="J44" i="18"/>
  <c r="P12" i="18"/>
  <c r="AB12" i="18"/>
  <c r="V44" i="18"/>
  <c r="AH44" i="18"/>
  <c r="V20" i="18"/>
  <c r="P20" i="18"/>
  <c r="J36" i="18"/>
  <c r="AB28" i="18"/>
  <c r="T38" i="18"/>
  <c r="AF22" i="18"/>
  <c r="N38" i="18"/>
  <c r="AF30" i="18"/>
  <c r="AL6" i="18"/>
  <c r="Z6" i="18"/>
  <c r="T14" i="18"/>
  <c r="AL30" i="18"/>
  <c r="Z22" i="18"/>
  <c r="Z14" i="18"/>
  <c r="AI16" i="1"/>
  <c r="AH16" i="1" s="1"/>
  <c r="W43" i="19" s="1"/>
  <c r="Z30" i="18"/>
  <c r="AL38" i="18"/>
  <c r="AL14" i="18"/>
  <c r="AF6" i="18"/>
  <c r="AF14" i="18"/>
  <c r="N30" i="18"/>
  <c r="N14" i="18"/>
  <c r="N22" i="18"/>
  <c r="AF38" i="18"/>
  <c r="T6" i="18"/>
  <c r="T19" i="1"/>
  <c r="AJ8" i="18"/>
  <c r="L16" i="18"/>
  <c r="AJ32" i="18"/>
  <c r="U19" i="1"/>
  <c r="R40" i="18"/>
  <c r="AJ40" i="18"/>
  <c r="AD24" i="18"/>
  <c r="R24" i="18"/>
  <c r="AJ16" i="18"/>
  <c r="AD8" i="18"/>
  <c r="L32" i="18"/>
  <c r="L40" i="18"/>
  <c r="R16" i="18"/>
  <c r="AD16" i="18"/>
  <c r="L8" i="18"/>
  <c r="R8" i="18"/>
  <c r="X40" i="18"/>
  <c r="X8" i="18"/>
  <c r="X16" i="18"/>
  <c r="AD40" i="18"/>
  <c r="X24" i="18"/>
  <c r="J40" i="18"/>
  <c r="J16" i="18"/>
  <c r="P16" i="18"/>
  <c r="V8" i="18"/>
  <c r="J8" i="18"/>
  <c r="J24" i="18"/>
  <c r="AH16" i="18"/>
  <c r="AB16" i="18"/>
  <c r="AB40" i="18"/>
  <c r="P32" i="18"/>
  <c r="P40" i="18"/>
  <c r="AH24" i="18"/>
  <c r="J32" i="18"/>
  <c r="V16" i="18"/>
  <c r="V40" i="18"/>
  <c r="AH32" i="18"/>
  <c r="V24" i="18"/>
  <c r="V32" i="18"/>
  <c r="AH8" i="18"/>
  <c r="AB8" i="18"/>
  <c r="P8" i="18"/>
  <c r="AH40" i="18"/>
  <c r="AB24" i="18"/>
  <c r="P24" i="18"/>
  <c r="J6" i="18"/>
  <c r="AB38" i="18"/>
  <c r="AH30" i="18"/>
  <c r="P14" i="18"/>
  <c r="AH14" i="18"/>
  <c r="AB22" i="18"/>
  <c r="J30" i="18"/>
  <c r="J38" i="18"/>
  <c r="P30" i="18"/>
  <c r="P22" i="18"/>
  <c r="J22" i="18"/>
  <c r="AH38" i="18"/>
  <c r="V30" i="18"/>
  <c r="P38" i="18"/>
  <c r="AH6" i="18"/>
  <c r="AH22" i="18"/>
  <c r="AB30" i="18"/>
  <c r="V38" i="18"/>
  <c r="V14" i="18"/>
  <c r="J14" i="18"/>
  <c r="AB14" i="18"/>
  <c r="AB6" i="18"/>
  <c r="V6" i="18"/>
  <c r="P6" i="18"/>
  <c r="T15" i="1"/>
  <c r="AI15" i="1" s="1"/>
  <c r="U15" i="1"/>
  <c r="AH34" i="18"/>
  <c r="AH42" i="18"/>
  <c r="AH18" i="18"/>
  <c r="AB10" i="18"/>
  <c r="J26" i="18"/>
  <c r="V18" i="18"/>
  <c r="V42" i="18"/>
  <c r="J42" i="18"/>
  <c r="P10" i="18"/>
  <c r="AB26" i="18"/>
  <c r="J34" i="18"/>
  <c r="J18" i="18"/>
  <c r="AH10" i="18"/>
  <c r="AB34" i="18"/>
  <c r="P26" i="18"/>
  <c r="V34" i="18"/>
  <c r="AH26" i="18"/>
  <c r="J10" i="18"/>
  <c r="P18" i="18"/>
  <c r="AB42" i="18"/>
  <c r="V10" i="18"/>
  <c r="AB18" i="18"/>
  <c r="P42" i="18"/>
  <c r="V26" i="18"/>
  <c r="Z32" i="18"/>
  <c r="N24" i="18"/>
  <c r="AL32" i="18"/>
  <c r="AL40" i="18"/>
  <c r="N8" i="18"/>
  <c r="AF24" i="18"/>
  <c r="Z40" i="18"/>
  <c r="Z16" i="18"/>
  <c r="N32" i="18"/>
  <c r="T32" i="18"/>
  <c r="N40" i="18"/>
  <c r="T8" i="18"/>
  <c r="T23" i="1"/>
  <c r="AI23" i="1" s="1"/>
  <c r="AH23" i="1" s="1"/>
  <c r="O44" i="19" s="1"/>
  <c r="AF32" i="18"/>
  <c r="AL8" i="18"/>
  <c r="T24" i="18"/>
  <c r="N16" i="18"/>
  <c r="T16" i="18"/>
  <c r="Z24" i="18"/>
  <c r="AF16" i="18"/>
  <c r="U23" i="1"/>
  <c r="AF8" i="18"/>
  <c r="Z8" i="18"/>
  <c r="AF40" i="18"/>
  <c r="AL16" i="18"/>
  <c r="AJ23" i="1" l="1"/>
  <c r="K28" i="19"/>
  <c r="AJ16" i="1"/>
  <c r="AI29" i="1"/>
  <c r="AH29" i="1" s="1"/>
  <c r="AH52" i="1"/>
  <c r="T55" i="19" s="1"/>
  <c r="AI17" i="1"/>
  <c r="AI27" i="1"/>
  <c r="AI28" i="1" s="1"/>
  <c r="AH28" i="1" s="1"/>
  <c r="AI25" i="1"/>
  <c r="AH25" i="1" s="1"/>
  <c r="W41" i="19" s="1"/>
  <c r="AH15" i="1"/>
  <c r="V45" i="19" s="1"/>
  <c r="AI24" i="1"/>
  <c r="AH24" i="1" s="1"/>
  <c r="V44" i="19" s="1"/>
  <c r="AI19" i="1"/>
  <c r="AH19" i="1" s="1"/>
  <c r="AC44" i="19" s="1"/>
  <c r="R44" i="19" l="1"/>
  <c r="S55" i="19"/>
  <c r="AJ28" i="1"/>
  <c r="AH17" i="1"/>
  <c r="J55" i="19" s="1"/>
  <c r="AI18" i="1"/>
  <c r="AH18" i="1" s="1"/>
  <c r="AJ52" i="1"/>
  <c r="AH49" i="1"/>
  <c r="AJ49" i="1" s="1"/>
  <c r="V50" i="19"/>
  <c r="AJ19" i="1"/>
  <c r="V51" i="19"/>
  <c r="J26" i="19"/>
  <c r="AJ15" i="1"/>
  <c r="AJ29" i="1"/>
  <c r="V55" i="19"/>
  <c r="J35" i="19"/>
  <c r="AJ25" i="1"/>
  <c r="V53" i="19"/>
  <c r="AH27" i="1"/>
  <c r="AJ24" i="1"/>
  <c r="V52" i="19"/>
  <c r="V39" i="19" l="1"/>
  <c r="AJ17" i="1"/>
  <c r="T40" i="19"/>
  <c r="P54" i="19"/>
  <c r="AJ27" i="1"/>
  <c r="J54" i="19"/>
  <c r="V54" i="19"/>
  <c r="J34" i="19"/>
  <c r="AJ18"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<sst xmlns="http://schemas.openxmlformats.org/spreadsheetml/2006/main" count="1577" uniqueCount="688">
  <si>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</si>
  <si>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</si>
  <si>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</si>
  <si>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</si>
  <si>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</si>
  <si>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</si>
  <si>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</si>
  <si>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</si>
  <si>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</si>
  <si>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</si>
  <si>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</si>
  <si>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</si>
  <si>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</si>
  <si>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</si>
  <si>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</si>
  <si>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</si>
  <si>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</si>
  <si>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</si>
  <si>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</si>
  <si>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</si>
  <si>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</si>
  <si>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</si>
  <si>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</si>
  <si>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</si>
  <si>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</si>
  <si>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</si>
  <si>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</si>
  <si>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</si>
  <si>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</si>
  <si>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</si>
  <si>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</si>
  <si>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</si>
  <si>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</si>
  <si>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</si>
  <si>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</si>
  <si>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</si>
  <si>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</si>
  <si>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</si>
  <si>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</si>
  <si>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</si>
  <si>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</si>
  <si>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</si>
  <si>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</si>
  <si>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</si>
  <si>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</si>
  <si>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</si>
  <si>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</si>
  <si>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</si>
  <si>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</si>
  <si>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</si>
  <si>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</si>
  <si>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</si>
  <si>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</si>
  <si>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</si>
  <si>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</si>
  <si>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</si>
  <si>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</si>
  <si>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</si>
  <si>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</si>
  <si>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</si>
  <si>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Para diferenciar los tipos de riesgos se genera la siguiente codificación para diligenciar la columna con nombre "Referencia":</t>
  </si>
  <si>
    <t>Riesgos de Seguridad de la Información: S1, S2, etc.</t>
  </si>
  <si>
    <t>Riesgos de Gestión : G1, G2, etc</t>
  </si>
  <si>
    <t>Proceso: Seguimiento, medición, evaluación y control</t>
  </si>
  <si>
    <t xml:space="preserve">Formato Mapa de Riesgos de Gestión y Seguridad Digital </t>
  </si>
  <si>
    <t>Versión: 1</t>
  </si>
  <si>
    <t>SM.FT.15</t>
  </si>
  <si>
    <t>Fuente:  Adaptado de la Dirección de Gestión y Desempeño Institucional de Función Pública, 2020.</t>
  </si>
  <si>
    <t xml:space="preserve">Formato Mapa Riesgos </t>
  </si>
  <si>
    <t>Identificación del riesgo</t>
  </si>
  <si>
    <t>Análisis del riesgo inherente</t>
  </si>
  <si>
    <t>Evaluación del riesgo - Valoración de los controles</t>
  </si>
  <si>
    <t>Evaluación del riesgo - Nivel del riesgo residual</t>
  </si>
  <si>
    <t>Plan de Acción</t>
  </si>
  <si>
    <t xml:space="preserve">Referencia </t>
  </si>
  <si>
    <t>Proceso /
Proyecto</t>
  </si>
  <si>
    <t>Objetivo del Proceso / Proyecto</t>
  </si>
  <si>
    <t>Tipo de Riesgo</t>
  </si>
  <si>
    <t>Causa Raíz/Vulnerabilidad (para riesgos de Seguridad Digital)</t>
  </si>
  <si>
    <t>SOLO PARA RIESGOS DE SEGURIDAD DIGITAL</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</si>
  <si>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</si>
  <si>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</si>
  <si>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</si>
  <si>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</si>
  <si>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</si>
  <si>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</si>
  <si>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</si>
  <si>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</si>
  <si>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</si>
  <si>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</si>
  <si>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</si>
  <si>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</si>
  <si>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</si>
  <si>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</si>
  <si>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</si>
  <si>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</si>
  <si>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Indicador</t>
  </si>
  <si>
    <t>El Riesgo inherente de seguridad digital se asocia a:
(Confidencialidad, Integridad y Disponibilidad)</t>
  </si>
  <si>
    <t>Tipo de Activo</t>
  </si>
  <si>
    <t>Activo
(Seguridad de la Información /Digital)</t>
  </si>
  <si>
    <t>Amenaza
(Seguridad de la Información /Digital)</t>
  </si>
  <si>
    <t>Tipo</t>
  </si>
  <si>
    <t>Implementación</t>
  </si>
  <si>
    <t>Calificación</t>
  </si>
  <si>
    <t>Documentación</t>
  </si>
  <si>
    <t>Frecuencia</t>
  </si>
  <si>
    <t>Evidencia</t>
  </si>
  <si>
    <t>G1</t>
  </si>
  <si>
    <t>Direccionamiento Estratégico</t>
  </si>
  <si>
    <t>Definir las políticas y lineamientos institucionales que permitan dar cumplimiento a la misión y objetivos de la Agencia Nacional Digital, de acuerdo con la normatividad vigente.</t>
  </si>
  <si>
    <t>Riesgo de gestión</t>
  </si>
  <si>
    <t>Reputacional</t>
  </si>
  <si>
    <t>No cumplir con las metas planteadas en el Plan Estratégico Institucional</t>
  </si>
  <si>
    <t xml:space="preserve">Falta de seguimiento a la gestión </t>
  </si>
  <si>
    <t xml:space="preserve">Posibilidad de incumplir los objetivos estratégicos de la Entidad por no cumplir con las metas planteadas en el Plan Estratégico Institucional debido a la falta de seguimiento a la gestión </t>
  </si>
  <si>
    <t>No Aplica</t>
  </si>
  <si>
    <t>Ejecucion y Administracion de procesos</t>
  </si>
  <si>
    <t xml:space="preserve">     El riesgo afecta la imagen de la entidad con algunos usuarios de relevancia frente al logro de los objetivos</t>
  </si>
  <si>
    <t>El profesional de planeación realiza el seguimiento al cumplimiento de metas estratégicas y al plan de acción institucional a través de reportes mensuales y trimestrales llevados a cabo con el profesional de apoyo de planeación y reportados a MinTIC (Reportes PES por Trimestre y Reportes Plan de acción ASPA)</t>
  </si>
  <si>
    <t>Preventivo</t>
  </si>
  <si>
    <t>Manual</t>
  </si>
  <si>
    <t>Documentado</t>
  </si>
  <si>
    <t>Continua</t>
  </si>
  <si>
    <t>Con Registro</t>
  </si>
  <si>
    <t>Reducir (mitigar)</t>
  </si>
  <si>
    <t xml:space="preserve">Hacer seguimiento al cumplimiento de las metas estratégicas institucionales como método de control desde el Comité de Gestión y Desempeño </t>
  </si>
  <si>
    <t>Profesional de planeación</t>
  </si>
  <si>
    <t>1/03/2022
30/12/2022</t>
  </si>
  <si>
    <t>1) 6/06/2022
2) 27/09/2022
3) 23/12/2022</t>
  </si>
  <si>
    <t>1) Se realizó el Comité de Gestión y Desempeño del primer trimestre, en el cual se presentaron los avances del cumplimiento de metas estratégicas y del plan de acción institucional. Se continúa con esta actividad cada trimestre de la presente vigencia
2) Se da continuidad a la realización del Comité de Gestión y Desempeño, llevándose a cabo el del segundo trimestre, en el cual se presentaron los avances del cumplimiento de metas estratégicas y del plan de acción institucional. Se continúa con esta actividad cada trimestre de la presente vigencia
3) Se cierra la vigencia realizando el seguimiento permanente a los planes, reportando el cumplimiento de las metas estratégicas institucionales a MinTIC, al Comité de Gestión y Desempeño y publicándolos en la intranet y página web de la entidad. Así mismo se hace el seguimiento y reporte del plan de acción institucional en el Comité de Gestión y Desempeño y se publica en la intranet y página web.</t>
  </si>
  <si>
    <t>Finalizado</t>
  </si>
  <si>
    <t>Control del cumplimiento de metas estratégicas en el CGD</t>
  </si>
  <si>
    <t>G2</t>
  </si>
  <si>
    <t>Articulación de Servicios Ciudadanos Digitales</t>
  </si>
  <si>
    <t xml:space="preserve">Coordinar la participación de todos los actores vinculados en la prestación de los Servicios Ciudadanos Digitales (SCD) con el propósito de implementarlos de acuerdo con los lineamientos del Ministerio de Tecnologías de la Información y las Comunicaciones. </t>
  </si>
  <si>
    <t>No lograr llevar a cabo la coordinación de los actores vinculados a la prestación de los servicios ciudadanos digitales</t>
  </si>
  <si>
    <t xml:space="preserve"> Falta de lineamientos, directrices o herramientas de gestión que guíen dicha coordinación para la prestación de los SCD</t>
  </si>
  <si>
    <t>Posibilidad de incumplir con el rol de articulador de los SCD por parte de la Agencia por no lograr llevar a cabo la coordinación de los actores vinculados a la prestación de los servicios ciudadanos digitales, debido a la falta de lineamientos, directrices o herramientas de gestión que guíen dicha coordinación para la prestación de los SCD</t>
  </si>
  <si>
    <t>Usuarios, productos y practicas , organizacionales</t>
  </si>
  <si>
    <t>El Subdirector de SCD promueve la elaboración y aprueba los lineamientos, directrices y herramientas de gestión para la vinculación de los diferentes actores para la prestación de los SCD</t>
  </si>
  <si>
    <t xml:space="preserve">Hacer el seguimiento al cumplimiento técnico de los requisitos del prestador para la vinculación a los SCD a partir los lineamientos aprobados por MinTIC para la articulación de los SCD </t>
  </si>
  <si>
    <t>Subdirector de SCD</t>
  </si>
  <si>
    <t>01/06/2022
31/12/2022</t>
  </si>
  <si>
    <t>1) 13/06/2022
2) 27/09/2022
3) 23/12/2022</t>
  </si>
  <si>
    <r>
      <t>1) Actualmente se hace el seguimiento al cumplimiento técnico de los requisitos para la vinculación de las entidades a los servicios ciudadanos digitales base, en el marco de la prestación de dichos servicios. Este seguimiento se hace a través de la verificación del cumplimiento de metas de indicadores establecidos en el marco del Convenio 602 de 2022 con MinTIC, mediante seguimiento semanales internos y el seguimiento con gerentes y coordinadores de la AND con MinTIC. Se encuentran las actas y presentaciones de estos seguimientos, además de un cronograma con la linea de seguimiento.
 Por otra parte, una vez gener</t>
    </r>
    <r>
      <rPr>
        <sz val="11"/>
        <rFont val="Calibri"/>
        <family val="2"/>
        <scheme val="minor"/>
      </rPr>
      <t>adas las guías de integración de prestadores privados de SCD especiales</t>
    </r>
    <r>
      <rPr>
        <sz val="11"/>
        <color theme="1"/>
        <rFont val="Calibri"/>
        <family val="2"/>
        <scheme val="minor"/>
      </rPr>
      <t xml:space="preserve"> por parte de la Agencia como anexos técnicos de la </t>
    </r>
    <r>
      <rPr>
        <sz val="11"/>
        <rFont val="Calibri"/>
        <family val="2"/>
        <scheme val="minor"/>
      </rPr>
      <t>Resolución 001951 de 2022, la cua</t>
    </r>
    <r>
      <rPr>
        <sz val="11"/>
        <color theme="1"/>
        <rFont val="Calibri"/>
        <family val="2"/>
        <scheme val="minor"/>
      </rPr>
      <t xml:space="preserve">l se firmó y publicó en el mes de junio de 2022, la Agencia realizará el seguimiento al cumplimiento técnico de los requisitos del prestador para la vinculación a los SCD especiales. 
2) Se da continuidad al proceso que acompaña la vinculación de las entidades a los SCD base y se mantiene el seguimiento del cumplimiento técnico con mintic. 
En cuanto a la integración de privados a SCD especiales se está a la espera de la solicitud de revisión del cumplimiento técnico de entidades por parte de MinTIC. 
3) Se cierra la vigencia dando continuidad al acompañamiento a la vinculación de las entidades a los SCD base y haciendo el seguimiento con MinTIC.
En cuanto a la integración a los SCD especiales se cerró la vigencia haciendo el acompañamiento que requirió MinTIC en las actiivdades asociadas. Se espera realizar el acompañamiento a los prestadores privados en su implmentación durante la vigencia 2023. </t>
    </r>
  </si>
  <si>
    <t>En curso</t>
  </si>
  <si>
    <t>Documentos de seguimientos</t>
  </si>
  <si>
    <t>G3</t>
  </si>
  <si>
    <t>Económico y Reputacional</t>
  </si>
  <si>
    <t>Restricciones en la actualización de nuevas versiones de X Road</t>
  </si>
  <si>
    <t xml:space="preserve">Adaptación requerida de esta herramienta a nivel de código para Colombia </t>
  </si>
  <si>
    <t xml:space="preserve">Posibilidad de tener retrasos en el funcionamiento del servicio de interoperablidad por restricciones en la actualización de nuevas versiones de X Road debido a la adaptación requerida de esta herramienta a nivel de código para Colombia </t>
  </si>
  <si>
    <t xml:space="preserve">     El riesgo afecta la imagen de alguna área de la organización</t>
  </si>
  <si>
    <t>El profesional de proyectos de SCD junto al equipo de operaciones de TI actualiza las instalaciones de X-Road en las entidades</t>
  </si>
  <si>
    <t>Automático</t>
  </si>
  <si>
    <t>Aleatoria</t>
  </si>
  <si>
    <t>Aceptar</t>
  </si>
  <si>
    <t>Desde la vigencia 2021 este riesgo se aceptó dado su nivel bajo de presentación y se considera eliminarlo como riesgo dado que se encuentra controlado en el marco de la operación constante de Servicios Ciudadanos Digitales</t>
  </si>
  <si>
    <t>N.A.</t>
  </si>
  <si>
    <t>El arquitecto de operaciones de TI modifica a través de la plataforma x road las nuevas versiones que se adopten, si es requerido</t>
  </si>
  <si>
    <t>G4</t>
  </si>
  <si>
    <t>Comunicación Estratégica</t>
  </si>
  <si>
    <t>Diseñar las herramientas y estrategias de comunicación externas de la Entidad, con el propósito de lograr el posicionamiento y reconocimiento de la misma por parte de los grupos de interés, así como fortalecer la cultura organizacional e imagen corporativa de la Entidad a través de una comunicación interna participativa y dirigida a todos los niveles de la Entidad</t>
  </si>
  <si>
    <t xml:space="preserve">Generar información desarticulada de la gestión institucional </t>
  </si>
  <si>
    <t>Falta de lineamientos para la gestión de la comunicación en la Agencia</t>
  </si>
  <si>
    <t>Posibilidad de desinformar a los grupos de valor e interés de la entidad al generar información desarticulada de la gestión institucional debido a la falta de lineamientos para la gestión de la comunicación en la Agencia</t>
  </si>
  <si>
    <t xml:space="preserve">     El riesgo afecta la imagen de de la entidad con efecto publicitario sostenido a nivel de sector administrativo, nivel departamental o municipal</t>
  </si>
  <si>
    <t>El profesional de comunicaciones elabora y hace aprobar por el Director de la entidad los lineamientos para la gestión de comunicaciones en la Entidad</t>
  </si>
  <si>
    <t>Elaboración y aprobación del plan de acción de comunicaciones 2022 que permita hacer operativos los lineamientos estratégicos</t>
  </si>
  <si>
    <t>Profesional de Comunicaciones</t>
  </si>
  <si>
    <t>10/01/2022
1/03//2022</t>
  </si>
  <si>
    <t>1) 9/06/2022</t>
  </si>
  <si>
    <t>1) Se elaboró el plan de acción de comunicaciones 2022 y se aprobó en el Comité Directivo de la AND. Así mismo se elaboró el plan de publicaciones en medios digitales para la AND, aprobado en el Comité Directivo en febrero de 2022. Actividad finalizada</t>
  </si>
  <si>
    <t>Plan aprobado.</t>
  </si>
  <si>
    <t>Actualización y aprobación de los lineamientos estratégicos de comunicaciones</t>
  </si>
  <si>
    <t>2/03/2022
30/07/2022</t>
  </si>
  <si>
    <t>1) 9/06/2022
2) 3/10/2022
3) 28/12/2022</t>
  </si>
  <si>
    <t>1) Se realizará una actualización de la política de comunicación estratégica, se programa para el mes de julio. Por otra parte se elaboró y aprobó el Manual de Imagen Insitucional como lineamiento para uso de la imagen de la entidad por parte de todos los colaboradores y las entidades con las que se tienen proyectos
2) Hasta la fecha, se ha venido implementando el Manual de Imagen Institucional aprobado en las diferentes piezas gráficas de la Agencia y se ha tenido en cuenta la actualización de la nueva imagen del gobierno nacional. En cuanto a la política se está trabjando en el borrador de la Política para presentarla en el siguiente comite de gesitón y desempeño. 
3) Se cierra la vigencia presentando la Política de Comunicación Estratégica V4 en la sesión 4 del Comité de Gestión y Desempeño, la cual fue aprobada por unanimidad. De igual manera se implementó el CM.PR. 01 Procedimiento Comunicación Interna y Externa, el Plan de publicaciones redes sociales y plataformas digitales AND 2022 y el CM.FT.01 Formato de Solicitud de comunicación interna o externa como lineamientos para fortalecer el control de la comunicación institucional. Lo anterior se encuentra publicado en la intranet para conocimiento de todo el personal</t>
  </si>
  <si>
    <t>Lineamientos actualizados</t>
  </si>
  <si>
    <t>Divulgación de los lineamientos estratégicos de comunicaciones (Política de Comunicaciones, Plan Acción de Comunicaciones, Plan de publicaciones en medios digitales,  Manual de Imagen) a grupos de valor e interes internos y externos</t>
  </si>
  <si>
    <t>2/03/2022
15/12/2022</t>
  </si>
  <si>
    <t xml:space="preserve">1) Se elaboran piezas de comunicación donde se informa sobre actualizaciones de lineamientos y temas de comunicación relacionados con la gestión institucional
2) En el marco de las actividades proyectadas de comunicación es un proceso constante y progresivo informarles a los grupos de valor e interes internos y externos sobre los lineamientos. 
3) Se realizó la divulgación de los lineamientos de comunición estratégica a todos los colaboradores de la entidad mediante correo electrónico y publicación en la intranet, así mismo, dede la página web se pueden consultar las políticas de gestión institucional dentro de las cuales se encuentra la de comunicaciones, para conocimiento de todos los grupos de valor. Por otra parte se participó en las capacitaciones realizadas por talento humano, en las cuales se divulgó temas relacionados con la comunicación estratégica de la Agencia. </t>
  </si>
  <si>
    <t>Divulgación de lineamientos</t>
  </si>
  <si>
    <t>Elaboración y aprobación del procedimiento para la gestión de la información a publicar en medios de comunicación</t>
  </si>
  <si>
    <t>1/04/2022
30/06/2022</t>
  </si>
  <si>
    <t>1) 9/06/2022
2) 3/10/2022</t>
  </si>
  <si>
    <t>1) Se elaboró el procedimiento y formato para la gestión de comunicaciones y se encuentra en revisión y aprobación
2) Se aprobó el procedimiento y formato para la gestión de comunicaciones tanto interna como externa y se están implementando para la publicación de información desde las diferentes áreas de la entidad. Actividad finalizada</t>
  </si>
  <si>
    <t>Procedimiento aprobado</t>
  </si>
  <si>
    <t>G5</t>
  </si>
  <si>
    <t>Gestión Administrativa</t>
  </si>
  <si>
    <t>Planear, administrar, organizar y controlar los bienes y servicios adquiridos, así como gestionar los trámites inmersos en el proceso administrativo y las adecuaciones de infraestructura física que requiera la Entidad, mediante la correcta ejecución de los recursos para el adecuado funcionamiento de la Agencia Nacional Digital.</t>
  </si>
  <si>
    <t>Ausencia de control sobre los equipos</t>
  </si>
  <si>
    <t>Falta de seguimiento sobre la asignación de equipos a los contratistas por parte de los supervisores</t>
  </si>
  <si>
    <t>Posibilidad de pérdida de los equipos de cómputo de la Agencia por la ausencia de control sobre los equipos, debido a la falta de seguimiento sobre la asignación de equipos a los contratistas por parte de los supervisores</t>
  </si>
  <si>
    <t>El profesional de apoyo de TI hace la solicitud desde la Subdirección Administrativa y Financiera a los supervisores sobre la asignación de equipos a contratistas</t>
  </si>
  <si>
    <t>El riesgo queda en zona baja y no requeriría plan de tratamiento, siendo importante mencionar que en la vigencia anterior habia quedado pendiente una actividad del plan de tratamiento de digitalización de las actas de movimientos de inventario para verificar que todas se encuentren con la información completa. Esta actividad se culminó en marzo de la presente vigencia.</t>
  </si>
  <si>
    <t>G6</t>
  </si>
  <si>
    <t>Gestión Contractual</t>
  </si>
  <si>
    <t>Gestionar y asegurar la adquisición de bienes y/o servicios en la Agencia Nacional Digital mediante la asesoría y acompañamiento de los procesos contractuales con el fin de cumplir lo dispuesto en el plan anual de adquisiciones.</t>
  </si>
  <si>
    <t>Declaración de desierto de los procesos de selección de contratación</t>
  </si>
  <si>
    <t xml:space="preserve"> No concurrencia de proponentes o porque estos no cumplen con los requisitos habilitantes</t>
  </si>
  <si>
    <t>Posibilidad de no adquirir los bienes y servicios que la Entidad requiere por declaración de desierto de los procesos de selección de contratación, debido a la no concurrencia de proponentes o porque estos no cumplen con los requisitos habilitantes</t>
  </si>
  <si>
    <t>El responsable de la solicitud del contrato en la Entidad realiza un estudio del sector y estructuración del proceso contractual que permita conocer los posibles proponentes que hay en el mercado</t>
  </si>
  <si>
    <t>Implementar una mesa técnica de revisión del proceso contractual en los casos en que se generen observaciones sobre el 30% de los requisitos técnicos sin perjuicio que según el tema se defina realizarla</t>
  </si>
  <si>
    <t>Profesional Jurídica</t>
  </si>
  <si>
    <t>01/02/2022
31/12/2022</t>
  </si>
  <si>
    <t>1) 16/05/2022
2) 05/10/2022
3)15/12/2022</t>
  </si>
  <si>
    <t>1) Se ha trabajado en mesas técnicas con el equipo de cada área responsables de la contratación, haciendo las observaciones requeridas desde la Subdirección Jurídica para unificar criterios en el proceso contractual 
2) Se da continuidad a las mesas tecnicas y acompañamiento por parte de la subdirección jurídica dentro de los procesos de selección, en las cuales se realiza la revisión de los factores externos y requisitos técnicos para culminar los procesos de forma existosa. De igual manera en el segundo semestre se realiza la modificación del Régimen de Contratación al interior de la Agencia, el cual se regula a través del nuevo Manual de Contratación que establece nuevos procesos para la adquisición de bienes y servicios necesarios para la entidad.
3)Teniendo en cuenta la implementación del nuevo Manual de contratación, los procesos de selección que requieren las subdirecciones misionales se desarrollan de manera mas ágil y eficaz y en los cuales se ha venido garantizando la transparencia y los principios generales de la contratación permitiendo que la AND fortalezca su proceso contractual. De igual manera, se continuan haciendo las mesas técnicas desde la Subdirección Jurídica acompañanado a las subdirecciones misionales en el proceso de formulación, desarrollo, evaluación y selección derivados de esta clase de procesos contractuales. Se cierra la vigencia atendiendo todos los requerimientos de las subdirecciones desde la subdirección jurídica.</t>
  </si>
  <si>
    <t xml:space="preserve">Registros u observaciones de la revsiones en las mesas técnicas </t>
  </si>
  <si>
    <t>G7</t>
  </si>
  <si>
    <t xml:space="preserve">Incumplimiento parcial o total del contratista </t>
  </si>
  <si>
    <t>Falta de seguimiento por parte de la supervisión del contrato</t>
  </si>
  <si>
    <t>Posibilidad de incumplimiento de la Entidad en la prestación del servicio así como imposición de multas y sanciones o declaratorias de incumplimiento para la Agencia, por el incumplimiento parcial o total del contratista debido a la falta de seguimiento por parte de la supervisión del contrato</t>
  </si>
  <si>
    <t>El supervisor del contrato valida el cumplimiento del contratista a través de la firma del formato de Certificación de actividades y autorización de trámite para pago</t>
  </si>
  <si>
    <t>Implementar el plan de mejoramiento con los supervisores para mejorar el proceso de gestión contractual</t>
  </si>
  <si>
    <t>Supervisores de contratos</t>
  </si>
  <si>
    <t>01/01/2022
31/12/2022</t>
  </si>
  <si>
    <r>
      <t>1) Se elaboró el plan de mejoramiento en la vigencia 2021, las actividades se han implementado teniendo un cierre efectivo hasta la fecha por parte de los supervisores
2)</t>
    </r>
    <r>
      <rPr>
        <sz val="11"/>
        <rFont val="Calibri"/>
        <family val="2"/>
        <scheme val="minor"/>
      </rPr>
      <t xml:space="preserve"> Adicional a la implementación del plan de mejoramiento con los supervisores</t>
    </r>
    <r>
      <rPr>
        <sz val="11"/>
        <color rgb="FFFF0000"/>
        <rFont val="Calibri"/>
        <family val="2"/>
        <scheme val="minor"/>
      </rPr>
      <t xml:space="preserve"> </t>
    </r>
    <r>
      <rPr>
        <sz val="11"/>
        <rFont val="Calibri"/>
        <family val="2"/>
        <scheme val="minor"/>
      </rPr>
      <t>se genero desde la Subdirección Jurídica la CT.GU.01 Guía de supervisión e interventoría</t>
    </r>
    <r>
      <rPr>
        <sz val="11"/>
        <color theme="1"/>
        <rFont val="Calibri"/>
        <family val="2"/>
        <scheme val="minor"/>
      </rPr>
      <t xml:space="preserve"> de contratos y convenios mediante la cual se definen las instrucciones necesarias para llevar a cabo el correcto seguimiento a los contratos y convenios suscritos por la Agencia. Para la implementación de esta Guía se realizaron capacitaciones con supervisores y contratistas. 
3) Esta actividad se finalizó en el mes de octubre con el seguimiento del 5 de octubre.</t>
    </r>
  </si>
  <si>
    <t>Planes de mejora 2021 implementado</t>
  </si>
  <si>
    <t xml:space="preserve">Realizar auditoría y seguimiento al plan de mejoramiento para verificar el cumplimiento de este por parte de los supervisores </t>
  </si>
  <si>
    <t>Profesional de control interno</t>
  </si>
  <si>
    <t>01/05/2022
30/06/2022</t>
  </si>
  <si>
    <r>
      <t xml:space="preserve">1) Durante el mes de mayo se encuentra en curso la ejecución de la auditoría al proceso de Gestión Contratual
</t>
    </r>
    <r>
      <rPr>
        <sz val="11"/>
        <rFont val="Calibri"/>
        <family val="2"/>
        <scheme val="minor"/>
      </rPr>
      <t>2) Se realizó la auditoría y seguimiento a la implementación del plan de mejoramiento de la vigencia 2021 en el mes de junio y se cerraron las actividades que se tenían pendientes por parte de los supervisores. Soporte Matriz del plan de mejoramiento.</t>
    </r>
    <r>
      <rPr>
        <sz val="11"/>
        <color theme="1"/>
        <rFont val="Calibri"/>
        <family val="2"/>
        <scheme val="minor"/>
      </rPr>
      <t xml:space="preserve">
3) Esta actividad se finalizó en el mes de octubre con el seguimiento del 5 de octubre.</t>
    </r>
  </si>
  <si>
    <t>Informe de auditoría
Matriz Plan de mejoramiento 2021</t>
  </si>
  <si>
    <t>G8</t>
  </si>
  <si>
    <t>No lograr la liquidación de los contratos de prestación de servcios en los cuales queden saldos por ejecutar, durante la etapa máxima legal establecida</t>
  </si>
  <si>
    <t xml:space="preserve"> Falta de gestión por parte del supervisor para la liquidación de mutuo acuerdo del contrato </t>
  </si>
  <si>
    <t xml:space="preserve">Posibilidad de perder competencia para liquidar contratos de prestación de servicios en los cuales queden saldos por ejecutar, teniendo que acudir a la via judicial y/o no poder realizar la liberación de saldos correspondientes, por no lograr la liquidación de los contratos durante la etapa máxima legal establecida, debido a la falta de gestión por parte del supervisor para la liquidación de mutuo acuerdo del contrato </t>
  </si>
  <si>
    <t xml:space="preserve">     El riesgo afecta la imagen de la entidad internamente, de conocimiento general, nivel interno, de junta dircetiva y accionistas y/o de provedores</t>
  </si>
  <si>
    <t>El supervisor hace la gestión con el contratista para logar la liquidación de mutuo acuerdo</t>
  </si>
  <si>
    <t>Sin Documentar</t>
  </si>
  <si>
    <t>Sin Registro</t>
  </si>
  <si>
    <t>La profesional de apoyo a jurídica da a conocer de manera continua las guias, manuales y documentos internos en los cuales se describa la labor de supervisión</t>
  </si>
  <si>
    <t>G9</t>
  </si>
  <si>
    <t>Gestión de Grupos de Interés</t>
  </si>
  <si>
    <t>Establecer lineamientos y coordinar las actividades tendientes a la identificación de los intereses de los grupos de valor e interes, y a la implementarción de acciones de participación, rendición de cuentas y atención de requerimientos en el marco de la gestión de la AND</t>
  </si>
  <si>
    <t>Aplicar mal los elementos normativos y lineamientos asociados a la gestión de PQRSD</t>
  </si>
  <si>
    <t>Fallas al dar respuesta de fondo por la interpretación de la PQRSD por parte del personal asignado para dar respuesta</t>
  </si>
  <si>
    <t>Posibilidad de generar investigaciones y/o sanciones fiscales, disciplinarias, penales, etc por aplicar mal los elementos normativos y lineamientos asociados a la gestión de PQRSD debido a fallas al dar respuesta de fondo por la interpretación de la PQRSD por parte del personal asignado para dar respuesta</t>
  </si>
  <si>
    <t xml:space="preserve">La profesional jurídica revisa y verifica la implementación de los puntos de control del procedimiento de PQRSD que permitan validar la interpretación y respuesta de fondo emitida por el personal asignado </t>
  </si>
  <si>
    <t>Socializar a todos los colaboradores de la entidad que el canal oficial para el ingreso y respuesta de PQRSD es el correo de la Agencia: agencianacionaldigital@and.gov.co, incluyendo los diferentes puntos de control del procedimiento de PQRSD</t>
  </si>
  <si>
    <t>Profesional Jurídica y  Asistente de dirección</t>
  </si>
  <si>
    <t>1) 16/05/2022
2) 05/10/2022
3) 15/12/2022</t>
  </si>
  <si>
    <t xml:space="preserve">1) Se cuenta con el procedimiento ajustado y socializado desde la intranet, se programarán las socializaciones o capacitaciones en el segundo semestre del año
2) Se programarán las capacitaciones durante el último trimestre del año para reforzar el conocimiento sobre el procedimiento de PQRSD. Y se realizará pieza de comunicación para reforzar el trámite a nivel externo con los grupos de valor (trabajar con profesional de grupos de interés y profesional de comunicaciones)
3) Se realizaron las piezas de comunicación que fueron enviadas por las redes sociales de la entidad, la página web y por correo electrónico a los colaboradores. La profesional jurídica cuenta con los enlaces de dichas publicaciones. Ejemplo:  https://and.gov.co/atencion-y-servicios-a-la-ciudadania/pqrsd. Por otro lado, desde la sede electrónica se publicó la información del procedimiento en la sección de PQRSD. Esta actividad se cierra con las diferentes actividades de socialización que se hicieron durante la vigencia para el tema de pqrsd. </t>
  </si>
  <si>
    <t>Registros de socializaciones del procedimiento de PQRSD</t>
  </si>
  <si>
    <t>G10</t>
  </si>
  <si>
    <t>No contestar oportunamente (fuera de términos o no contestar) una PQRSD</t>
  </si>
  <si>
    <t>Error humano de los responsables del manejo de PQRSD en la Entidad</t>
  </si>
  <si>
    <t>Posibilidad de generar investigaciones y/o sanciones fiscales, disciplinarias, penales, etc por no contestar oportunamente (fuera de términos o no contestar)una PQRSD, debido a un error humano de los responsables del manejo de PQRSD en la Entidad</t>
  </si>
  <si>
    <t>La profesional jurídica revisa y verifica la implementación de los puntos de control del procedimiento de PQRSD identificando los responsables, tiempos y posibles tipos de PQRSD</t>
  </si>
  <si>
    <t>Baja</t>
  </si>
  <si>
    <t>Menor</t>
  </si>
  <si>
    <t>Moderado</t>
  </si>
  <si>
    <t>Profesional de Comunicaciones y Asistente de Dirección</t>
  </si>
  <si>
    <t xml:space="preserve">1) Se cuenta con el procedimiento ajustado y socializado desde la intranet, se programarán las socializaciones o capacitaciones en el segundo semestre del año
2) Se continua realizando el control de PQRSD desde la Subdirección Jurídica frente a los tiempos y responsables y se continua trabajando articuladamente con la Asistente de Dirección para socializar el ingreso y respuesta de PQRSD a través del correo agencianacionaldigital@and.gov.co. Las PQRSD que llegan por el formulario de la página web se redireccionan al correo mencionado. Así mismo, se han realizado campañas de comunicación por redes sociales para informar a los grupos de valor sobre la competencia de la Agencia frente a ingreso solidario, aclarando que el responsable de este trámite es el DPS. La Agencia se asoció a este trámite por su rol de prestador de SCD y la operación de gov.co.  
3) Se realizaron las piezas de comunicación que fueron enviadas por las redes sociales de la entidad, la página web y por correo electrónico a los colaboradores. La profesional jurídica cuenta con los enlaces de dichas publicaciones. Ejemplo:  https://and.gov.co/atencion-y-servicios-a-la-ciudadania/pqrsd. Por otro lado, desde la sede electrónica se publicó la información del procedimiento en la sección de PQRSD. Esta actividad se cierra con las diferentes actividades de socialización que se hicieron durante la vigencia para el tema de pqrsd. </t>
  </si>
  <si>
    <t>G11</t>
  </si>
  <si>
    <t>Gestión de Proyectos de Ciencia, Tecnología e innovación aplicada</t>
  </si>
  <si>
    <t>Formular, proponer y ejecutar proyectos de Ciencia, Tecnología e Innovación (CTI) aplicada, asociados a la creación de un ecosistema de información pública, atendiendo criterios de eficiencia, celeridad e impacto.</t>
  </si>
  <si>
    <t>No entregar los productos de CTI aplicada en los tiempos y con las condiciones establecidas</t>
  </si>
  <si>
    <t xml:space="preserve"> Fallas en la ejecución de las etapas o subprocesos del proceso Gestión de Proyectos de CTI aplicada </t>
  </si>
  <si>
    <t xml:space="preserve">Posibilidad de incumplir los convenios o contratos firmados con entidades debido a no entregar de los productos de CTI aplicada en los tiempos y con las condiciones establecidas debido a fallas en la ejecución de las etapas o subprocesos del proceso Gestión de Proyectos de CTI aplicada </t>
  </si>
  <si>
    <t>El Gerente del Proyecto realiza el seguimiento al plan de gestión de riesgos de cada proyecto junto con el cliente</t>
  </si>
  <si>
    <t>Verificar la identificación de todos los tipos de riesgos (técnicos, administrativos, financieros, talento humano, etc) en cada proyecto</t>
  </si>
  <si>
    <t>Asesor de Dirección 
Subdirector de Desarrollo  Gerentes del proyecto</t>
  </si>
  <si>
    <t>15/01/2022
31/12/2022</t>
  </si>
  <si>
    <t>1) 23/06/2022
2) 27/09/2022
3)23/12/2022</t>
  </si>
  <si>
    <t>1) Desde las propuestas de CTI aplicada se identifican los riesgos asociados al proyecto. Así mismo durante su ejecución los gerentes del proyecto hacen el seguimiento a la gestión del riesgo y desde el seguimiento realizado por la Subdirección frente al avance de los proyectos, se detectan los riesgos y las acciones para su tratamiento.
2) Desde cada proyecto de CTI aplicada, en el marco de las reuniones de seguimiento que se hacen con el Subdirector de Desarrollo y los gerentes de proyectos se continúa haciendo el seguimiento a los mapas de riesgos con todos sus componentes
3) Se cierra la vigencia dando continuidad a las reuniones de seguimiento entre el Subdirector de Desarrollo y los gerentes informando la identificación y tratamiento de riesgos para los proyectos los cuales han sido gestionados con los clientes.</t>
  </si>
  <si>
    <t>Mapa de riesgos con riesgos, controles y planes de tratamiento</t>
  </si>
  <si>
    <t xml:space="preserve">Verificar la implementación de controles y planes de tratamiento de los riesgos de cada proyecto </t>
  </si>
  <si>
    <t>Profesional de Control Interno</t>
  </si>
  <si>
    <t>1/06/2022
31/12/2022</t>
  </si>
  <si>
    <t>1) 23/06/2022
2) 27/09/2022</t>
  </si>
  <si>
    <r>
      <t xml:space="preserve">1) Se debe llevar a cabo la coordinación con control interno para realizar la verificación 
</t>
    </r>
    <r>
      <rPr>
        <sz val="11"/>
        <rFont val="Calibri"/>
        <family val="2"/>
        <scheme val="minor"/>
      </rPr>
      <t xml:space="preserve">2) En la auditoría realizada por Control Interno entre agosto y septiembre se verificaron las matrices de riesgos de proyectos, indentificando controles y planes de tratamiento para los proyectos de la vigencia 2022. Se mantendrá esta verificación en cada vigencia. </t>
    </r>
    <r>
      <rPr>
        <sz val="11"/>
        <color theme="1"/>
        <rFont val="Calibri"/>
        <family val="2"/>
        <scheme val="minor"/>
      </rPr>
      <t>Actividad finalizada</t>
    </r>
  </si>
  <si>
    <t>Registros de verificación de la gestión del riesgo realizada en la Subdirección de Desarrollo</t>
  </si>
  <si>
    <t>G12</t>
  </si>
  <si>
    <t>Elaboración de una propuesta inadecuadamente definida</t>
  </si>
  <si>
    <t>Ausencia de metodologías para la elaboración de propuestas desde los componentes técnico, financiero, jurídico y administrativo</t>
  </si>
  <si>
    <t>Posibilidad de tener un convenio o contrato firmado con otra entidad que no satisfaga los objetivos de la AND, debido a la elaboración de una propuesta inadecuadamente definida, dado la ausencia de metodologías para la elaboración de propuestas desde los componentes técnico, financiero, jurídico y administrativo</t>
  </si>
  <si>
    <t xml:space="preserve">El equipo asesor de la Dirección establece la metodología para la elaboración de propuestas incluyendo los componentes mínimos que debe tener el análisis técnico, presupuestal, jurídico y administrativo para los proyectos de CTI aplicada, y la someten a aprobación del Comité de Gestión y Desempeño. </t>
  </si>
  <si>
    <t>Verificar la creación y aprobación de la metodología para la elaboración de propuestas de los proyectos de CTI aplicada</t>
  </si>
  <si>
    <t>1/09/2022 
30/12/2022</t>
  </si>
  <si>
    <t>1)23/06/2022
2) 07/10/2022
3) 28/12/2022</t>
  </si>
  <si>
    <r>
      <t xml:space="preserve">1) Se genera como nueva actividad, por lo cual se hará la coordinación con el equipo asesor de la Dirección para su elabración y aprobación en el marco del Comité de Gestión y Desempeño
</t>
    </r>
    <r>
      <rPr>
        <sz val="11"/>
        <rFont val="Calibri"/>
        <family val="2"/>
        <scheme val="minor"/>
      </rPr>
      <t>2) Se realiza reunión con los subdirectores para designar responsables para la elaboración de los diferentes documentos requeridos para dar cumplimiento al control y actividad de tratamiento.
3) Se realizaron mesas de trabajo con los responsables designados de cada subdirección, incluyendo en el documento Modelo Operativo para la gestión de proyectos,</t>
    </r>
    <r>
      <rPr>
        <sz val="11"/>
        <color theme="1"/>
        <rFont val="Calibri"/>
        <family val="2"/>
        <scheme val="minor"/>
      </rPr>
      <t xml:space="preserve"> las acciones a seguir para el análisis técnico, presupuestal, jurídico y administrativo en la etapa de Planificación del Proyecto, en la estimación de la propuesta. Este Modelo se envió al equipo directivo para su revisión, generándose observaciones por parte de los subdirectores, las cuales fueron respondidas y realizados los ajustes solicitados. Se programó su presentación para aprobación en la sesión 5 del Comité de Gestión y Desempeño, sin embargo, dado el cambio de dirección en la entidad y la necesidad de revisar nuevos lineamientos que se generen en el marco del Plan Estratégico Institucional 2023-2026 y el impacto de dichos lineamientos para el Modelo Operativo para la gestión del proyectos en la entidad, se aplaza su presentación hasta que sea aprobado el Plan Estratégico y se hayan realizado los ajustes que se requieran al Modelo Operativo. En el marco de la presentación del Modelo al Comité, la profesional de Control Interno verificó su elaboración.</t>
    </r>
  </si>
  <si>
    <t>Metodología aprobada</t>
  </si>
  <si>
    <t>G13</t>
  </si>
  <si>
    <t>No tener el personal</t>
  </si>
  <si>
    <t>La Agencia no cuenta con alternativas que sean atractivas para el personal de proyectos en comparación con la competencia</t>
  </si>
  <si>
    <t>Posibilidad de generar desfases frente al cronograma del proyecto por no tener el personal dado que la Agencia no cuenta con alternativas que sean atractivas para dicho personal en comparación con la competencia</t>
  </si>
  <si>
    <t>La profesional de Talento Humano junto a los Subdirectores misionales revisa alternativas para incluir al personal de los proyectos en ofertas de bienestar que permitan aumentar la satisfacción tanto laboral como económica (ej. vinculación al convenio de medicina prepagada de la AND con un descuento siginificativo; mantener el trabajo remoto, analizar la mejora de condiciones en contratación a más largo plazo, etc.)</t>
  </si>
  <si>
    <t>Elaborar un diagnóstico de identificación de necesidades del personal de proyectos de CTI aplicada para la definición de acciones de talento humano frente al bienestar de esta población</t>
  </si>
  <si>
    <t>Profesional de Talento Humano
Subdirectores Misionales</t>
  </si>
  <si>
    <t>1/08/2022
31/12/2022</t>
  </si>
  <si>
    <t>1)23/06/2022
2) 07/10/2022
3) 29/12/2022</t>
  </si>
  <si>
    <t xml:space="preserve">1) Se genera como nueva actividad, por lo cual se hará la coordinación con el equipo de talento humano para la ejecución de la actividad así como con el equipo de control interno
2) Se realiza reunión con los subdirectores para designar responsables para la elaboración de los diferentes documentos requeridos para dar cumplimiento al control y actividad de tratamiento.
3) Se realizaron mesas de trabajo con los responsables designados de cada subdirección, elaborando una encuesta para la identificación de necesidades del personal de los proyectos de la entidad relacionada con temas de bienestar la cual fue enviada para revisión y aprobación de los subdirectores misionales y la subdirectora administrativa, obteniendo dicha aprobación por parte de las tres áreas. Se llevó a cabo el análisis del momento de aplicación de dicha encuesta para realizar el diagnóstico requerido con la Subdirectora Administrativa y Financiera así como la profesional de talento humano, definiendo que dado la etapa de cierre de proyectos y alta carga de obligaciones se llevará a cabo dicha aplicación en la vigencia 2023. </t>
  </si>
  <si>
    <t>Diagnóstico de identificación de necesidades del personal de proyectos de CTI aplicada</t>
  </si>
  <si>
    <t>El tiempo requerido en la consecución y contratación del personal, de acuerdo con los perfiles para el proyecto, es mayor al requerido por el mismo</t>
  </si>
  <si>
    <t>Posibilidad de generar desfases frente al cronograma del proyecto por no tener el personal debido a que el tiempo requerido en la consecución y contratación de este, de acuerdo con los perfiles para el proyecto, es mayor al requerido por el mismo</t>
  </si>
  <si>
    <t>El equipo de talento humano  genera un banco de hojas de vida que cuente con los perfiles requeridos para contratación del personal de acuerdo con las necesidades de los proyectos.</t>
  </si>
  <si>
    <t>Verificar la elaboración del banco de hojas de vida para los proyectos de CTI aplicada</t>
  </si>
  <si>
    <r>
      <t xml:space="preserve">1)23/06/2022
2) 07/10/2022
</t>
    </r>
    <r>
      <rPr>
        <sz val="11"/>
        <rFont val="Calibri"/>
        <family val="2"/>
        <scheme val="minor"/>
      </rPr>
      <t>3) 29/12/2022</t>
    </r>
  </si>
  <si>
    <t>1) Se genera como nueva actividad, por lo cual se hará la coordinación con el equipo de talento humano para la ejecución de la actividad así como con el equipo de control interno
2) Se realiza reunión con los subdirectores para designar responsables para la elaboración de los diferentes documentos requeridos para dar cumplimiento al control y actividad de tratamiento.
3) Se cierra la vigencia con un banco de hojas de vida elaborado por el equipo de talento humano, clasificado por los perfiles o roles requeridos en cada proyecto. Se tiene clasificado además por los resultados del proceso de selección que algunos participantes ya han realizado en la Agencia. La profesional de control interno verificó la existencia del banco de hojas de vida elaborado por talento humano.</t>
  </si>
  <si>
    <t>Banco de hojas de vida</t>
  </si>
  <si>
    <t>G14</t>
  </si>
  <si>
    <t>Alta rotación del personal de proyectos</t>
  </si>
  <si>
    <t>El proceso de gestión de pagos de la Agencia debe darse conforme al estado de caja y la oportunidad en la entrega de informes de contratistas</t>
  </si>
  <si>
    <t>Posibilidad de generar desfases frente al cronograma del proyecto debido a una alta rotación del personal dado que el proceso de gestión de pagos de la Agencia debe darse conforme al estado de caja y la oportunidad en la entrega de informes de contratistas</t>
  </si>
  <si>
    <t>Los Subdirectores de Desarrollo y de SCD, junto con el Asesor de la Dirección y la Subdirectora Financiera realizan un análisis para establecer una base de capital para la ejecución de los proyectos con el propósito de evitar demoras en los pagos por parte de la Agencia, el cual se someterá a aprobación de la Dirección.</t>
  </si>
  <si>
    <t>Revisar las posibilidades o escenarios encontrados en el análisis sobre la generación de la base de capital que permita arrancar el proyecto mientras se hace el primer desembolso (2 a 3 meses) en Comité Directivo</t>
  </si>
  <si>
    <t>Subdirectores de Desarrollo y de SCD, Asesor de la Dirección y Subdirectora Financiera</t>
  </si>
  <si>
    <r>
      <t xml:space="preserve">1) Se genera como nueva actividad, por lo cual se hará la coordinación con el equipo de subdirectores para la ejecución de la actividad así como con el equipo de control interno
</t>
    </r>
    <r>
      <rPr>
        <sz val="11"/>
        <rFont val="Calibri"/>
        <family val="2"/>
        <scheme val="minor"/>
      </rPr>
      <t>2) Se realiza reunión con los subdirectores para designar responsables para la elaboración de los diferentes documentos requeridos para dar cumplimiento al control y actividad de tratamiento.
3)</t>
    </r>
    <r>
      <rPr>
        <sz val="11"/>
        <color theme="1"/>
        <rFont val="Calibri"/>
        <family val="2"/>
        <scheme val="minor"/>
      </rPr>
      <t xml:space="preserve"> </t>
    </r>
    <r>
      <rPr>
        <sz val="11"/>
        <rFont val="Calibri"/>
        <family val="2"/>
        <scheme val="minor"/>
      </rPr>
      <t>Se realiza mesa de trabajo con el Subdirector (E) de Desarrollo, el delegado de la Subdirección de SCD y la Subdirectora Administrativa y financiera quien menciona que desde esta área se realizó el análisis de las opciones para generar una base de capital que permitiera el arranque de proyectos mientras se realizan los primeros desembolsos. Este análisis fue presentado al Director de la entidad y permitió  definir que para la ejecución financiera del modelo de negocio de la Agencia, se propone establecer un margen de excedentes mínimo del 22% para cada uno de los proyectos a suscribir a partir de la vigencia 2023. Con dicha proyección se cubren la totalidad de los gastos de funcionamiento, se cumple lo proyectado en inversión y se generarían excedentes que permitirían generar una base de capital para los proyectos. Lo anterior se explica en el informe de gestión institucional 2022</t>
    </r>
  </si>
  <si>
    <t>Escenarios para la generación de base de capital para primeros desembolsos de proyectos</t>
  </si>
  <si>
    <t xml:space="preserve">Los gerentes de proyecto y documentadores organizan los tiempos y cumplimiento de requerimientos para la entrega oportuna de informes por parte de los contratistas </t>
  </si>
  <si>
    <t xml:space="preserve">Elaborar un procedimiento y construir unos artefactos automáticos o manuales para realizar el seguimiento a la entrega y trámite de informes para pago
Verificar los tiempos de revisión de los informes radicados por parte de los contratista a los gerentes </t>
  </si>
  <si>
    <t>4 Subdirectores
Profesional de Control Interno</t>
  </si>
  <si>
    <t>1) Se genera como nueva actividad, por lo cual se hará la coordinación con el equipo de subdirectores para la ejecución de la actividad así como con el equipo de control interno
2) Se realiza reunión con los subdirectores para designar responsables para la elaboración de los diferentes documentos requeridos para dar cumplimiento al control y actividad de tratamiento.
3) Se revisa el tema y se encuentra que la Agencia cuenta con el Instructivo para radicación, cargue, trámite y pago de cuentas de cobro de los contratos de prestación de servicios o de apoyo a la gestión, el cual utiliza como herramienta SECOP. Teniendo en cuenta lo anterior, se evaluará la necesidad de ajustar dicho instructivo incluyendo la etapa de  seguimiento y trámite de informes para el pago, así como las necesidades de actualización que se requieran.</t>
  </si>
  <si>
    <t>Procedimiento elaborado y artefactos
Registros de verificación de radicación de informes y tiempos de trámite</t>
  </si>
  <si>
    <t>G15</t>
  </si>
  <si>
    <t>No contar con los recursos requeridos para la ejecución del proyecto por la ausencia de infraestructura propia</t>
  </si>
  <si>
    <t>Ausencia de estrategias de evaluación de la capacidad de reacción de la Agencia ante la firma de proyectos (equipo de TI/integral)</t>
  </si>
  <si>
    <t>Posibilidad de no contar con los recursos requeridos para la ejecución del proyecto por la ausencia de infraestructura propia (licenciamiento de herramientas, ambientes de desarrollo, repositorio de versionamiento de las aplicaciones entregadas a los clientes, ambientes de calidad, etc.), dada la ausencia de estrategias de evaluación de la capacidad de reacción de la Agencia ante la firma de proyectos</t>
  </si>
  <si>
    <t>El Asesor de TI de la Dirección junto con los Subdirectores de Desarrollo y SCD evalúan la capacidad de reacción de la Agencia ante la firma de proyectos en términos de infraestructura (licenciamiento de herramientas, ambientes de desarrollo, repositorio de versionamiento de las aplicaciones entregadas a los clientes, ambientes de calidad, etc.), para generar estrategias que permitan contar con los recursos requeridos para la ejecución de los proyectos.</t>
  </si>
  <si>
    <t>Establecer una periodicidad y mínimos para realizar la evaluación de capacidad de la Agencia en términos de infraestructura para la ejecución de proyectos</t>
  </si>
  <si>
    <t>Asesor de TI de la Dirección
Subdirectores de Desarrollo y SCD</t>
  </si>
  <si>
    <t>1) Se genera como nueva actividad, por lo cual se hará la coordinación con el Asesor de TI de la Dirección y los Subdirectores para la ejecución de la actividad
2) Se realiza reunión con los subdirectores para designar responsables para la elaboración de los diferentes documentos requeridos para dar cumplimiento al control y actividad de tratamiento.
3) Se elaboró la Política para la gestión de infraestructura de TI en la cual se incluyen los lineamientos para la definición, adquisición, soporte, administración y mantenimiento de la infraestructura tecnológica de la Agencia Nacional Digital, garantizando la disponibilidad y la correcta operación de los servicios tecnológicos. Lo anterior permite establecer los mínimos para realizar la evaluación de capacidad de la entidad para la ejecución de proyectos. Dicha política se revisó con los subdirectores misionales y el director, realizandose los ajustes solicitados por ellos y quedando en proceso de presentación al Comité de Gestión y Desempeño para su aprobación.</t>
  </si>
  <si>
    <t>Evaluaciones de capacidad de infraestructura para proyectos</t>
  </si>
  <si>
    <t>G16</t>
  </si>
  <si>
    <t>Retrasos en la ejecución del proyecto por el incumplimiento de compromisos de aprobaciones de entregables por parte del cliente</t>
  </si>
  <si>
    <t xml:space="preserve">Ausencia o desconocimiento de mecanismos de gestión por parte de la Agencia para hacer cumplir los compromisos de aprobaciones de entregables por parte del cliente. </t>
  </si>
  <si>
    <t xml:space="preserve">Posibilidad de tener retrasos en la ejecución del proyecto por el incumplimiento de compromisos de aprobaciones de entregables por parte del cliente, dada la ausencia o desconocimiento de mecanismos de gestión por parte de la Agencia para hacer cumplir estos compromisos. </t>
  </si>
  <si>
    <t xml:space="preserve">Los Subdirectores misionales junto con la Subdirectora Jurídica establecen los mecanismos de gestión por parte de la Agencia para hacer cumplir los compromisos de aprobaciones de entregables por parte del cliente y los someten a aprobación del Comité de Gestión y Desempeño. </t>
  </si>
  <si>
    <t>Verificar la creación y aprobación de los mecanismos de gestión por parte de la Agencia para hacer cumplir los compromisos de aprobaciones de entregables por parte del cliente</t>
  </si>
  <si>
    <t>1) Se genera como nueva actividad, por lo cual se hará la coordinación con el equipo de subdirectores y la profesional de control interno para la elabración y aprobación en el marco del Comité de Gestión y Desempeño
2) Se realiza reunión con los subdirectores para designar responsables para la elaboración de los diferentes documentos requeridos para dar cumplimiento al control y actividad de tratamiento.
3) Se realizaron mesas de trabajo con los responsables designados de cada subdirección, incluyendo en el documento Modelo Operativo para la gestión de proyectos, en la etapa de Planificación del Proyecto, en la estimación de la propuesta la necesidad de inclurir dentro de esta los tiempos en los cuales la Entidad deberá aprobar o dar vistos buenos a los entregables realizados por la Agencia así como los tiempos en los que deberá aprobar la factura presentada a fin de asegurar que los pagos o desembolsos atiendan los periodos de ejecución proyectados, basados en las necesidades de cada fase o de las actividades técnicas, operativas y/o administrativas que permitan contar con el flujo de caja que la AND requiere. Por lo que desde la estimación se deberán contemplar los tiempos asociados a estos.  Este Modelo se envió al equipo directivo para su revisión, generándose observaciones por parte de los subdirectores, las cuales fueron respondidas y realizados los ajustes solicitados. Se programó su presentación para aprobación en la sesión 5 del Comité de Gestión y Desempeño, sin embargo, dado el cambio de dirección en la entidad y la necesidad de revisar nuevos lineamientos que se generen en el marco del Plan Estratégico Institucional 2023-2026 y el impacto de dichos lineamientos para el Modelo Operativo para la gestión del proyectos en la entidad, se aplaza su presentación hasta que sea aprobado el Plan Estratégico y se hayan realizado los ajustes que se requieran al Modelo Operativo</t>
  </si>
  <si>
    <t>Mecanismos aprobados en Comité de Gestión y Desempeño</t>
  </si>
  <si>
    <t>G17</t>
  </si>
  <si>
    <t>Gestión de Talento Humano</t>
  </si>
  <si>
    <t>Planear, organizar, ejecutar y controlar las acciones que promuevan la provisión y desarrollo del talento humano, bienestar y mejoramiento de las competencias laborales, la seguridad y salud en el trabajo, así como la gestión de situaciones administrativas que se generen en el ingreso, permanencia o retiro del personal de la Entidad</t>
  </si>
  <si>
    <t xml:space="preserve"> Falta de desarrollo de actividades de bienestar, capacitación e incentivos, conforme a las necesidades identificadas</t>
  </si>
  <si>
    <t>Ausencia de recursos para la implementación del plan estratégico de talento humano</t>
  </si>
  <si>
    <t>Posibilidad de que el talento humano de la Agencia no tenga mejoramiento de sus competencias, ni acciones que permitan mejorar su calidad de vida y en el trabajo a través de actividades de bienestar e incentivos, debido a la falta de desarrollo de actividades de bienestar,capacitación e incentivos, conforme a las necesidades identificadas, por la ausencia de recursos para la implementación del plan estratégico de talento humano</t>
  </si>
  <si>
    <t>El profesional de talento humano incorpora los recursos requeridos para la implementacion del plan estratégico de talento humano en cada vigencia</t>
  </si>
  <si>
    <t>El profesional de talento humano evalúa la percepción de los colaboradores frente al mejoramiento de sus competencias, mejoramiento de su calidad de vida y en el trabajo, a partir de la implementación de acciones de bienestar, capacitación e incentivos, para llevar mejoramiento del plan de talento humano en cada vigencia</t>
  </si>
  <si>
    <t>Correctivo</t>
  </si>
  <si>
    <t>G18</t>
  </si>
  <si>
    <t>Gestión de TI</t>
  </si>
  <si>
    <t>Planificar, construir, ejecutar y controlar la plataforma tecnológica (estructura, procesos y mecanismos de TI) de la Agencia Nacional Digital, con el fin de garantizar su disponibilidad, continuidad y seguridad para soportar la gestión de la Entidad y el cumplimiento de los objetivos estratégicos y misionales de esta.</t>
  </si>
  <si>
    <t xml:space="preserve">Indisponibilidad de los sistemas de información y servicios de TI que utiliza la Agencia </t>
  </si>
  <si>
    <t>Fallos en la infraestructura, conectividad, bases de datos y aplicaciones</t>
  </si>
  <si>
    <t>Posibilidad de afectación de la prestación del servicio misional y de la imagen institucional de la Entidad, por la indisponibilidad de los sistemas de información y servicios de TI que utiliza la Agencia, debido a fallos en la infraestructura, conectividad, bases de datos y aplicaciones</t>
  </si>
  <si>
    <t>El profesional líder técnico de TI de cada subdirección misional junto con el equipo actúan de manera proactiva ante alertas generadas por los sistemas de moinitorización</t>
  </si>
  <si>
    <t>Implementar un sistema de monitorización de la infraestructura tecnológica para los recursos que no tienen esta capacidad</t>
  </si>
  <si>
    <t>Líder Técnico de TI en las subidrecciones misionales</t>
  </si>
  <si>
    <t>1/01/2022
31/12/2022</t>
  </si>
  <si>
    <t>1) 31/05/2022
2) 27/09/2022
3) 28/12/2022</t>
  </si>
  <si>
    <t xml:space="preserve">1) En SCD se cuenta con el sistema de monitoreo de los servicios el cual permite tener las alertas tempranas para mantener la disponibilidad de los sistemas de información y servicios de TI que utiliza la Agencia, en caso de fallos en la infraestructura, conectividad, bases de datos y aplicaciones. 
2) Se continúa realizando el monitoreo de los servicios para determinar las alertas correspondientes y mantener la disponibilidad de los sistemas y servicios de TI para SCD, esto se realiza desde AWS. 
3) Se cierra la vigencias dadno continuidad al monitoreo de los servicios para determinar las alertas correspondientes y mantener la disponibilidad de los sistemas y servicios de TI para SCD, esto se realiza desde AWS. </t>
  </si>
  <si>
    <t xml:space="preserve">Consumo AWS e informe de capacidades consumo AWS </t>
  </si>
  <si>
    <t xml:space="preserve">El profesional líder técnico de TI de cada subdirección misional junto con el equipo implementan soluciones tecnicas alternativas para mejorar los atibutos de calidad de la infraestructura en cuanto a disponibilidad, seguridad, rendimiento, escalabilidad y continuidad de las operaciones. </t>
  </si>
  <si>
    <t xml:space="preserve">El profesional líder técnico de TI de cada subdirección misional junto con el equipo implementan un esquema de seguridad perimetral en profundidad para proteger los activos de información frente a ataques de DDoS y otro tipo de ataque cibernético. </t>
  </si>
  <si>
    <t xml:space="preserve">Realizar una verificación de la implementación del sistema de monitorización de la infraestructura tecnológica </t>
  </si>
  <si>
    <t>1/07/2022
1/10/2022
15/12/2022</t>
  </si>
  <si>
    <t xml:space="preserve">1) Se genera la actividad, la cual será socializada con los equipos de las subdirecciones misionales para realizar el primer seguimiento en el mes de julio
2) Se realiza la verificación de la implementación del sistema de monitorización de la infraestructura tecnológica para SCD a través de reportes mensuales socializados con MinTIC. El proveedor de AWS genera el reporte mensual del sistema de monitorización de SCD haciendolo llegar al lider técnico de infraestructura de la AND quien genera el informe o reporte para MinTIC.  
3) Se cierra la vigencia dando continuidad a la verificación de la implementación del sistema de monitorización de la infraestructura tecnológica para SCD a través de reportes mensuales socializados con MinTIC. El proveedor de AWS genera el reporte mensual del sistema de monitorización de SCD haciendolo llegar al lider técnico de infraestructura de la AND quien genera el informe o reporte para MinTIC.  </t>
  </si>
  <si>
    <t>Catálogo de servicios vs inventario de servicios monitoreado</t>
  </si>
  <si>
    <t>El profesional líder técnico de TI de cada subdirección misional junto con el equipo hace el diagnóstico del servicio afectado para identificar componentes de TI y proceder con su resolución o hacer el escalamiento a proveedores en los casos de servicios tercerizados</t>
  </si>
  <si>
    <t>G19</t>
  </si>
  <si>
    <t xml:space="preserve">Indisponibilidad de recursos tecnológicos y humanos para el funcionamiento de la gestión de TI </t>
  </si>
  <si>
    <t>Falta de identificación de recursos tecnológicos y humanos asociados a la gestión de TI</t>
  </si>
  <si>
    <t>Posibilidad de afectación en la prestación de servicios de TI para la gestión institucional debido a la indisponibilidad de recursos tecnológicos y humanos para el funcionamiento de la gestión de TI por falta de identificación de recursos tecnológicos y humanos asociados a la gestión de TI</t>
  </si>
  <si>
    <t>El asesor de TI de la Dirección, el profesional de apoyo a la planeación y el profesional de apoyo de servicios ciudadanos digitales identifican los recursos tecnológicos y humanos requeridos para la gestión de TI, de acuerdo con el plan definido por la entidad para este proceso en el marco del PETI</t>
  </si>
  <si>
    <t>Actualizar el PETI</t>
  </si>
  <si>
    <t>Equipo Dirección (asesor de TI de la Dirección, el profesional de apoyo a la planeación y el profesional de apoyo de servicios ciudadanos digitales)</t>
  </si>
  <si>
    <t>1/07/2022
15/12/2022</t>
  </si>
  <si>
    <t>1) 6/06/2022
2) 27/09/2022
3) 28/12/2022</t>
  </si>
  <si>
    <t>1) El equipo asignado por la Dirección para esta labor se encuentra actualizando el PETI de acuerdo con la dinámica de la Agencia. Se espera contar con el documento de acuerdo con los hitos definidos en el cronograma del proyecto. 
2) El equipo se encuentra llevando a cabo la actualización del PETI una vez revisados los dominios de arquitectura empresarial
3) Se actualizó el PETI el cual se encuentra publicado en la intranet de la entidad</t>
  </si>
  <si>
    <t xml:space="preserve">PETI actualizado </t>
  </si>
  <si>
    <t>Actualizar la identificación de recursos tecnológicos y humanos para la implementación de la Gestión de TI en la AND</t>
  </si>
  <si>
    <t>1) Esta actiivdad se contempla en el marco de la actividad anterior (actualización del PETI)
2 ) El equipo se encuentra llevando a cabo la actualización del PETI una vez revisados los dominios de arquitectura empresarial en lo cual se encuentra incluida la identificación de recursos.
3) Se actualizó el PETI el cual se encuentra publicado en la intranet de la entidad</t>
  </si>
  <si>
    <t>G20</t>
  </si>
  <si>
    <t>Gestión Documental</t>
  </si>
  <si>
    <t>Gestionar y controlar los documentos de la AND conforme a las disposiciones legales vigentes de gestión documental, para la producción o recepción, clasificación, distribución, consulta, organización, recuperación y disposición final, ocn el propósito de preservar la memoria institucional y promover la transparencia y acceso a la información</t>
  </si>
  <si>
    <t>Pérdida, sustracción, inclusión y/o adulteración de documentos en los expedientes</t>
  </si>
  <si>
    <t xml:space="preserve">No se cuenta con un archivo central ni la suficiente capacidad para el almacenamiento y custodia de los
expedientes que ingresan al inventario del archivo </t>
  </si>
  <si>
    <t xml:space="preserve">Posible exposición de los expedientes a cualquier usuario sin restricciones;  pérdida de la memoria institucional; reprocesos de almacenamiento de expedientes en lugares diferentes
a los dispuestos para la custodia y control; debido a la pérdida, sustracción, inclusión y/o adulteración de documentos en los expedientes dado que no se cuenta con un archivo central ni la suficiente capacidad para el almacenamiento y custodia de los
expedientes que ingresan al inventario del archivo </t>
  </si>
  <si>
    <t xml:space="preserve">El profesional de Gestión Documental implementará el PINAR aprobado en Comité de Gestión y Desempeño en la anterior vigencia </t>
  </si>
  <si>
    <t>Ejecutar el proyecto de coformación de un archivo central  de acuerdo con el PINAR</t>
  </si>
  <si>
    <t>Profesional de Gestión Documental</t>
  </si>
  <si>
    <t>1) 17/05/2022
2) 26/09/2022
3) 29/12/2022</t>
  </si>
  <si>
    <t>1) El avance del proyecto en la vigencia 2022 es del 40%, logrando la organización de los expedientes de la subdirección administrativa y financiera de vigencias 2018 a 2021 y se está trabajando en la organización de los archivos contractuales de las vigencias 2018 a 2020. Dichos expedientes de estas dos subdirecciones conformaría el archivo central de la AND. 
2) La consolidación de los expedientes de proyectos 2018 - 2022 de la Subdirección de Desarrollo y de la Subdirección de Servicios Ciudadanos Digitales se sumaron a la conformación de archivo central al ser cargados en sharepoint junto con las memorias justificativas de estos. Se continúa en la organización de los expedientes de las Subdirecciones Administrativa y Financiera y Jurídica, y se está a la espera de la definición del espacio ya que dichos expedientes son físicos. En general el avance del proyecto de conformación de archivo central va en un 75% de acuerdo con las actividades que se han ejecutado hasta la fecha.
3) Para cerrar la vigencia se finalizó la consolidación de la documentación de la Subdirección Administrativa y Jurídica de manera digital en el respositorio de sharepoint con el respectivo inventario documental. Se realizó la adquisición de moviliario para la organización de los expedientes físicos y la ubicación de los mismos con el respectivo inventario. Este moviliario se encuentra en las instalaciones de la AND. Se cierra el proyecto de conformación de archivo central con el 100% de cumplimiento</t>
  </si>
  <si>
    <t>Registros de ejecución del proyecto de archivo central</t>
  </si>
  <si>
    <t>G21</t>
  </si>
  <si>
    <t>Gestión Financiera</t>
  </si>
  <si>
    <t>Gestionar y realizar el seguimiento a la ejecución de los recursos financieros de la AND mediante el registro de operaciones en el SIIF-Nación, así como la presentación de los estados financieros de la Entidad, con el fin de disponer de información oportuna y veraz para el cumplimiento de la ejecución del presupuesto asignado y de los objetivos propuestos por la Agencia Nacional Digital.</t>
  </si>
  <si>
    <t>Presentación extemporánea de impuestos</t>
  </si>
  <si>
    <t>Falta de conocimiento sobre los calendarios tributarios</t>
  </si>
  <si>
    <t>Posibles sanciones a la Agencia por presentación extemporánea de impuestos y/o obligaciones tributarias debido a la falta de conocimiento sobre los calendarios tributarios</t>
  </si>
  <si>
    <t xml:space="preserve">     Entre 10 y 50 SMLMV </t>
  </si>
  <si>
    <t>El Contador y la Profesional de Tesorería de la entidad monitorean los plazos de las diferentes obligaciones tributarias a través de un calendario para la entidad.</t>
  </si>
  <si>
    <t>Realizar el monitoreo permanentemente del calendario por parte de los ususarios que participan en los procesos de liquidación, declaración y pago de Impuestos</t>
  </si>
  <si>
    <t>Contador y Profesional de Tesorería</t>
  </si>
  <si>
    <t>1) 30/06/2022
2) 20/10/2022
3) 23/12/2022</t>
  </si>
  <si>
    <t>1) A través del control del calendario se establecen alertas 15 días antes para llevar a cabo la gestión correspondiente a la preparación de información para la presentación de impuestos y obligaciones tributarias. Esta actividad se hace de manera constante durante todo el año.
2) Se continua realizando la actividad correspondiente al monitoreo permanente.
3) La aplicación del control fue efectiva, manteniendo el monitoreo permanente del calendario para llevar a cabo la preparación de información para la presentación de impuestos y obligaciones tributarias. Las últimas presentaciones fueron el 22 de diciembre cerrando el calendario de la presente vigencia.</t>
  </si>
  <si>
    <t>Formulario de impuestos y obligaciones presentados</t>
  </si>
  <si>
    <t>G22</t>
  </si>
  <si>
    <t xml:space="preserve"> No pagar oportunamente la declaración de impuestos </t>
  </si>
  <si>
    <t>No contar con flujo de caja para el pago del impuesto</t>
  </si>
  <si>
    <t>Posibles sanciones a la Agencia por no pagar oportunamente la declaración de impuestos por no contar con flujo de caja para el pago del impuesto</t>
  </si>
  <si>
    <r>
      <t>Los profesionales de presupuesto,</t>
    </r>
    <r>
      <rPr>
        <sz val="11"/>
        <rFont val="Calibri"/>
        <family val="2"/>
        <scheme val="minor"/>
      </rPr>
      <t xml:space="preserve"> tesorería y el contador</t>
    </r>
    <r>
      <rPr>
        <sz val="11"/>
        <color theme="1"/>
        <rFont val="Calibri"/>
        <family val="2"/>
        <scheme val="minor"/>
      </rPr>
      <t xml:space="preserve"> hacen seguimiento al flujo de caja verificando que exista el valor correspondiente al pago de impuestos</t>
    </r>
  </si>
  <si>
    <t>Elaborar y enviar al profesional de tesorería y presupuesto la alerta del vencimiento del IVA e ICA mínimo 15 días antes (los demas impuestos al ser impuestos retenidos no requieren de flujo de caja)</t>
  </si>
  <si>
    <t xml:space="preserve">Contador </t>
  </si>
  <si>
    <t>1) 24/06/2022
2) 20/10/2022
3) 23/12/2022</t>
  </si>
  <si>
    <t>1) 15 días antes del vencimiento de los impuestos de IVA e ICA el contador ha enviado la alerta a los profesionales de tesorería y presupuesto para tenerlos en cuenta en el flujo de caja a través de correos electrónicos (el IVA se presenta cuatrimestral y el ICA bimestral)
2) Se continúa realizando la alerta para el vencimiento de los impuestos 
3) La aplicación del control fue efectiva, manteniendo la alerta para el vencimiento de los impuestos de IVA e ICA. Las últimas presentaciones fueron aproximadamente el 22 de noviembre cerrando el calendario de la presente vigencia. Las próximas se realizan en enero del 2023</t>
  </si>
  <si>
    <t xml:space="preserve">Correos con la alerta de vencimiento de los impuestos </t>
  </si>
  <si>
    <t>Generar las alertas correspondientes en el seguimiento del flujo de caja sobre los recursos para el pago de impuestos</t>
  </si>
  <si>
    <t>Profesional de presupuesto</t>
  </si>
  <si>
    <t>1) 24/06/2022
2) 4/10/2022
3) 23/12/2022</t>
  </si>
  <si>
    <t>1) Cada quince días se hace seguimiento del flujo de caja en el cual se pasan las alertas correspondientes incluyendo el pago de impuestos. Se envía por correo el flujo de caja desde el profesional de presupuesto a la Subdirectora Adminstrativa y Financiera
2) Se da continuidad al seguimiento del flujo de caja en el cual se pasan las alertas correspondientes incluyendo el pago de impuestos y se envía a la Subdirectora Administrativa y Financiera cada vez que se requiere.
3) Se cierra la vigencia dando continuidad al seguimiento del flujo de caja en el cual se pasan las alertas correspondientes incluyendo el pago de impuestos y se envía a la Subdirectora Administrativa y Financiera cada vez que se requiere.</t>
  </si>
  <si>
    <t xml:space="preserve">Correos enviados desde el profesional de presupuesto a la  Subdirectora Administrativa y Financiera </t>
  </si>
  <si>
    <t>G23</t>
  </si>
  <si>
    <t>No tener la información de los estados financieros para presentarla ante entes de control</t>
  </si>
  <si>
    <t xml:space="preserve"> Rotación del contador en la Entidad</t>
  </si>
  <si>
    <t>Posibilidad de tener acciones disciplinarias para el representante legal de la Agencia por no tener la información de los estados financieros para presentarla ante entes de control debido a la rotación del contador en la Entidad</t>
  </si>
  <si>
    <t>El contador debe diligianciar completo el formato de entrega del cargo cuando se desvincula de la Entidad, incluyendo informacion anexa que se requiera</t>
  </si>
  <si>
    <t>Desde la vigencia 2021 este riesgo se aceptó dado su nivel bajo de presentación y se considera eliminarlo como riesgo dado que se encuentra controlado en el marco de la organización de información contable que ya realizó el Contador y compartió en un espacio de la Subdirección Administrativa y Financiera</t>
  </si>
  <si>
    <t>G24</t>
  </si>
  <si>
    <t xml:space="preserve"> La información contable no refleje la realidad financiera de la Entidad a traves de los estados financieros</t>
  </si>
  <si>
    <t>No conciliación de los saldos contables al no tener la información en tiempo y oportunidad</t>
  </si>
  <si>
    <t>Posibilidad de tener hallazgos de los entes de control debido a que la información contable no refleje la realidad financiera de la Entidad a traves de los estados financieros  por la no conciliación de los saldos contables al no tener la información en tiempo y oportunidad</t>
  </si>
  <si>
    <t xml:space="preserve">El contador realiza conciliacion de información contable antes de los cierres mensuales </t>
  </si>
  <si>
    <t>Validar la implementación del Manual de Gestión Contable y Tributaria</t>
  </si>
  <si>
    <t>Contador</t>
  </si>
  <si>
    <t>1) En el marco de la gestión contable y tribuaria se generan los registros correspondientes a la implementación de los procedimientos contenidos en el Manual aprobado en el mes de febreo de 2022. Estos registros se encuentran en SIIF y hacen parte integral de la información contable de la entidad.
2) Se continúa llevando a cabo los registros correspondientes a la implementación del Manual, lo anterior se encuentra en SIIF y hace parte de la información contable de la entidad.
3) Se cierra la vigencia llevando a cabo los registros correspondientes a la implementación del Manual que corresponden a la información contable de la entidad y que reposan en SIIF Nación y en los papeles de trabajo extracontables. No se ha requerido actualizaciones del Manual de Gestión Contable y Tributaria de la entidad.</t>
  </si>
  <si>
    <t>Registos de información contable y sus soportes</t>
  </si>
  <si>
    <t>Suministrar la información contable para los procesos de Auditoría periódica que desarrolla la Revisoría Fiscal</t>
  </si>
  <si>
    <t xml:space="preserve">1) A la fecha se ha entregado la totalidad de la información requerida por la Revisoría Fiscal para los procesos de auditoria correspondientes. 
2) Dado que se hacen auditorías permanentes se continúa entregando la información solicitada por la Revisoría Fiscal
3) Se cierra la vigencia, dando continuidad a la entrega de información a la Revisoría Fiscal para temas como auditoría en el mes de noviembre y para la revisión permanente de impuestos. </t>
  </si>
  <si>
    <t>Información requerida por Revisoría Fiscal</t>
  </si>
  <si>
    <t>Adelantar los planes de mejoramiento requeridos de acuerdo a los hallazgos encontrados en los procesos de Auditoría</t>
  </si>
  <si>
    <t>1) Se está elaborando el plan de mejoramiento resultado de la auditoría realizada por la revisoría fiscal 
2) En el primer semestre del año finalmente no fue requerido elaborar todo un plan de mejoramiento dado que se realizó una corrección asociada al número de teléfono de la entidad y con esta fue cerrada la observación. Por otra parte, se adelantarán los planes de mejoramiento resultado de los informes de auditoría que genere la auditoría permanente de la Revisoría Fiscal.
3) Durante la auditoría permanente de la Revisoría Fiscal se cierra la vigencia sin hallazgos contables por lo cual no se requirió en el ultimo trimestre realizar planes de mejoramiento.</t>
  </si>
  <si>
    <t>Plan de mejoramiento elaborado</t>
  </si>
  <si>
    <t>G25</t>
  </si>
  <si>
    <t>Gestión Jurídica</t>
  </si>
  <si>
    <t>Generar lineamientos y asesorar en asuntos jurídicos y representación judicial y prejudicial a la Agencia Nacional Digital con el fin de proteger sus intereses jurídicos</t>
  </si>
  <si>
    <t>Aplicar mal los elementos normativos y lineamientos asociados a requerimientos determinados</t>
  </si>
  <si>
    <t xml:space="preserve"> No contar con un perfil bien definido para la contratación del personal (planta y contratistas) </t>
  </si>
  <si>
    <t>Posibilidad de generar investigaciones y/o sanciones fiscales, disciplinarias, penales, etc. al aplicar mal los elementos normativos y lineamientos asociados a requerimientos determinados, por no contar con un perfil bien definido para la contratación del personal (planta y contratistas) de la Subdirección Jurídica, o no contar con un plan de capacitación que incluya los temas asociados al proceso.</t>
  </si>
  <si>
    <t>El Subdirector Jurídico genera un proceso de selección que cuente con el perfil que cumpla con los requerimientos de formación y experiencia acordes a la necesidad del proceso jurídico</t>
  </si>
  <si>
    <t>No contar con un plan de capacitación que incluya los temas asociados al proceso.</t>
  </si>
  <si>
    <t>El Subdirector Jurídico solicita la inclusión en el Plan de Capacitación de la Agencia de los temas asociados al proceso de Gestión Jurídica</t>
  </si>
  <si>
    <t>G26</t>
  </si>
  <si>
    <t xml:space="preserve"> Incumplimiento del debido proceso en el marco de la defensa judicial</t>
  </si>
  <si>
    <t>No llevar a cabo las acciones legales de manera correcta y oportuna durante la defensa judicial</t>
  </si>
  <si>
    <t>Posible condena desfavorable para la Entidad por el incumplimiento del debido proceso en el marco de la defensa judicial, al no llevar a cabo las acciones legales de manera correcta y oportuna durante la defensa judicial</t>
  </si>
  <si>
    <t xml:space="preserve">El Subdirector Jurídica verifica la implementación de los puntos de control identificados en el procedimiento de defensa judicial de la entidad en el marco de la gestión jurídica </t>
  </si>
  <si>
    <t>Brindar el acompañamiento y representación ante las diligencias extrajudiciales que han sido requeridas durante la vigencia, en el marco del procedimiento de defensa judicial de la entidad</t>
  </si>
  <si>
    <t xml:space="preserve">Profesionales Gestión Jurídica  </t>
  </si>
  <si>
    <t>1) La Subdirección Jurídica ha brindado acompañamiento y representación ante las diligencias extrajudiciales que han sido requeridas durante la vigencia
2) Se continua realizando el acompañamiento y representación ante las diligencias extrajudiciales que han sido requeridas. Se llevará a cabo la actualización de los procedimientos del proceso de gestión jurídica de acuerdo con las diferentes actividades asociadas a la defensa judicial requerida durante la vigencia 2022.
3) Se cierra la vigencia dando continuidad al acompañamiento y representación en las diligencias requeridas por parte de la Subdirección Jurídica en la cual se busca proteger los intereses de la AND en cada uno de los procesos que se encuentran en trámite para el cierre y liquidación de los proyectos con entidades. Queda pendiente la actualización de los procedimientos del proceso de gestión jurídica con relación a las diferentes actividades asociadas a la defensa judicial de la entidad.</t>
  </si>
  <si>
    <t xml:space="preserve">Registro del acompañamiento y representación </t>
  </si>
  <si>
    <t>G27</t>
  </si>
  <si>
    <t>Prestación de Servicios Ciudadanos Digitales</t>
  </si>
  <si>
    <t xml:space="preserve"> Prestar los Servicios Ciudadanos Digitales Base con el fin de fortalecer el ecosistema de información digital público y contribuir a la transformación digital del Estado Colombiano, cumpliendo los lineamientos del Ministerio de Tecnologías de la Información y las Comunicaciones</t>
  </si>
  <si>
    <t xml:space="preserve">Demora en la definición de requerimientos para la generación de las soluciones  </t>
  </si>
  <si>
    <t>Ausencia de personal de la entidad dueña del trámite que va a integrar los trámites y servicios, que defina puntualmente los requerimientos para desarrollar los productos para dicha integración</t>
  </si>
  <si>
    <t xml:space="preserve">Posibilidad de contar con soluciones tecnológicas incompletas para la integracion de los trámites y servicios de las entidades al Modelo de Servicios Ciudadanos Digitales y Gov.co debido a la demora en la definición de requerimientos para la generación de las soluciones por ausencia de personal de la entidad dueña del tramite que defina puntualmente los requerimientos para desarrollar los productos para dicha integración </t>
  </si>
  <si>
    <t xml:space="preserve">El Subdirector de SCD lleva a cabo el escalamiento de la necesidad de definición oportuna de los requerimientos para desarrollar los productos para la integración de trámites al Modelo de Servicios Ciudadanos Digitales y Gov.co  con la entidad asistida por la AND </t>
  </si>
  <si>
    <t>Realizar el acompañamiento técnico constante para la integración de trámites al Modelo de Servicios Ciudadanos Digitales y Gov.co a través de las mesas de servicios de nivel 2 y 3</t>
  </si>
  <si>
    <t>Administradores de plataforma del equipo de operaciones (mesa nivel 2 - Operaciones)
Líderes técnicos y desarrolladores (mesa nivel 3 - Evolutivos)</t>
  </si>
  <si>
    <t>1) 16/05/2022
2) 27/09/2022
3) 23/12/2022</t>
  </si>
  <si>
    <t>1) El acompañamiento técnico se hace de manera constante. En las mesas técnicas y a traves de los tickets llega al equipo de operaciones para el  nivel 2. En caso de no resolver se hace la solicitud en el equipo de evolutivos, en donde se atiende la solicitud como mesa de servicios de nivel 3. Adicionalmente las sesiones en donde se resuelve la situación quedan grabadas y en custodia de la Subdirección de Servicios Ciudadanos Digitales. 
2) Se da continuidad al acompañamiento técnico de manera constante a través de los niveles de mesa de servicio a las entidades que lo requieren.
3) Se cierra la vigencia dando continuidad al acompañamiento técnico de manera constante a las entidades que lo requieren, atendiendo los tickets de solicitud de soporte que llegan al equipo de operaciones para los niveles 2 y 3.</t>
  </si>
  <si>
    <t>Registros de acompañamiento técnico</t>
  </si>
  <si>
    <t>G28</t>
  </si>
  <si>
    <t xml:space="preserve"> No continuidad en la prestación de los Servicios Ciudadanos Digitales</t>
  </si>
  <si>
    <t>Los servicios que proveen las entidades a los SCD base pueden presentar inconvenientes o indisponibilidad</t>
  </si>
  <si>
    <t>Posibilidad de no poder usar los SCD base por parte de las entidades y ciudadanía debido a la no continuidad en la prestación de los Servicios por que  los servicios que proveen las entidades a los SCD base pueden presentar inconvenientes o indisponibilidad</t>
  </si>
  <si>
    <t>El Subdirector de SCD define acuerdos (ANS) entre la AND y las Entidades que provean los servicios</t>
  </si>
  <si>
    <t>Validar el cumplimiento de los acuerdos (ANS) establecidos entre la AND y las Entidades que tienen vinculados sus trámites y servicios</t>
  </si>
  <si>
    <t>1) 21/06/2022
2) 27/09/2022
3) 23/12/2022</t>
  </si>
  <si>
    <t>1) En el marco de los comités técnicos para la implementación de los trámites vinculados a SCD y gov.co se hace el segumiento al cumplimiento de los ANS establecidos con las entidades. 
2) Ademas de continuar con los comités técnicos  en donde se hace seguimiento al cumplimiento de los ANS por parte de las entidades, se hace el acompañamiento técnico por parte de la AND para fortalecer el proceso.
3) Se cierra la vigencia cumpliendo con los ANS acordados entre la Agencia y las Entidades que vinculan sus trámites a SCD.</t>
  </si>
  <si>
    <t>Registros de la validación de ANS</t>
  </si>
  <si>
    <t>El Subdirector de SCD, el gerente de trámites y servicios gestionan el acercamiento con las entidades y el Líder de TI estructuran e implementan el esquema de monitoreo para alertar fallas de manera oportuna sobre la prestación de SCD</t>
  </si>
  <si>
    <t>Validar la realización de monitoreo de los servicios ciudadanos digitales.</t>
  </si>
  <si>
    <t>1) Los servicios se monitorean continuamente desde el equipo de operaciones, realizando las alertas correspondientes para corregir las fallas presentadas de manera oportuna en el marco de la prestación y operación de los SCD base.
2) Se continúa haciendo el monitoreo continuo desde el equipo de operaciones, generando las alertas y corrigiendo las fallas presentadas de manera oportuna.
3) Se garantiza el monitoreo continuo desde el equipo de operaciones, generando las alertas y corrigiendo las fallas presentadas de manera oportuna, durante toda la vigencia. Se requiere dar continuidad a esta acción durante la próxima vigencia.</t>
  </si>
  <si>
    <t>Registros de la validación del monitoreo</t>
  </si>
  <si>
    <t>G29</t>
  </si>
  <si>
    <t xml:space="preserve">Seguimiento, medición, evaluación y control </t>
  </si>
  <si>
    <t>Evaluar, hacer seguimiento y controlar el cumplimiento de las políticas, lineamientos, directrices y procesos de la Entidad, contribuyendo al mejoramiento continuo de la gestión de la Agencia Nacional Digital</t>
  </si>
  <si>
    <t xml:space="preserve">No adelantar ejercicios de evaluación que permitan fortalecer la política de control interno de MIPG </t>
  </si>
  <si>
    <t>Ausencia de metodologías para el desarrollo de ejercicios de evaluación y seguimiento de la política de control interno de MIPG</t>
  </si>
  <si>
    <t xml:space="preserve">Posibilidad de incumplimir parcialmente la Política de Control Interno de MIPG por no adelantar ejercicios de evaluación que permitan fortalecer dicha política debido a  la ausencia de metodologías para el desarrollo de ejercicios de evaluación y seguimiento </t>
  </si>
  <si>
    <t xml:space="preserve">El profesional de control interno elabora y gestiona la aprobación de herramientas de gestión que permiten el desarrollo de ejercicios de evaluación y seguimiento asociados a la política de control interno en el marco de MIPG </t>
  </si>
  <si>
    <t>Garantizar que se ejecuten las funciones del comité de coordinación de control interno, asegurando que el equipo directivo cuente con la información requerida para el control y seguimiento del cumplimiento de la Política de Control Interno de MIPG, llevando a cabo la evaluación y fortalecimiento de esta</t>
  </si>
  <si>
    <t>1) 13/06/2022
2) 06/10/2022
3) 29/12/2022</t>
  </si>
  <si>
    <t>1) En la primera sesión del comité del mes de febrero se aprobó el Programa Anual de auditorías que incluye todas las acciones requeridas para la ejecución, control y seguimiento de la implementación de la Política de Control Interno de MIPG. Actualmente dicho programa se está ejecutando y se hará seguimiento en el Comité durante las sesiones ordinarias y extraordinarias que sean requeridas.
2) En el mes de junio se realizó Comité en el cual se aprobó la adición de unas auditorías en el marco del cumplimiento de la ley 1519 de 2020, auditorías a los procesos de gestión financiera y gestión jurídica.  Así mismo, se hace seguimiento y control al cumplimiento de los planes de mejoramiento, los cuales hacen parte de un componente de la Política de Control Interno de MIPG.
3) Se cierra la vigencia dando continuidad a la realización de los comités en donde se hace seguimiento y control al cumplimiento de la política de control interno de MIPG. En el total de la vigencia se hicieron 4 sesiones.</t>
  </si>
  <si>
    <t>Actas de Comité de Coordinación de Control Interno</t>
  </si>
  <si>
    <t>G30</t>
  </si>
  <si>
    <t>Seguridad y Privacidad de la información</t>
  </si>
  <si>
    <t>Definir e implementar lineamientos, estrategias y actividades orientadas a la seguridad y privacidad de la información conforme a la normatividad aplicable</t>
  </si>
  <si>
    <t xml:space="preserve">Incumplimiento en la implementación del Sistema de Seguridad de la Información para la Entidad </t>
  </si>
  <si>
    <t>Falta de un plan de trabajo para la implementación del Sistema de Seguridad de la información aprobado por la alta dirección</t>
  </si>
  <si>
    <t>Posibilidad de incumplimiento normativo, de no obtener la certificación del Sistema de Seguridad de la información y de falta de fortalecimiento de seguridad de la información en los activos y procesos críticos de la Entidad debido al incumplimiento en la implementación del Sistema de Seguridad de la Información para la Entidad por falta de un plan de trabajo para la implementación del Sistema de Seguridad de la información aprobado por la alta dirección</t>
  </si>
  <si>
    <t>El líder de Seguridad de la información elabora y gestiona la aprobación del Plan para la implementación del Sistema de Seguridad y Privacidad de la información</t>
  </si>
  <si>
    <t>Realizar seguimiento a la implementación del plan del SGSI</t>
  </si>
  <si>
    <t>Profesional líder de Seguridad de la Información</t>
  </si>
  <si>
    <t>1) 23/05/2022
2) 26/09/2022
3) 29/12/2022</t>
  </si>
  <si>
    <r>
      <t>1) Teniendo en cuenta el avance del año anterior 89% del Plan de trabajo para la implementación del SGSI, se actualizó el plan para la vigencia 2022 con el propósito de dar continuidad a las actividades que permitan la implementación del 100% del Sistema. En el 2022 se aprobó el plan de trabajo para la presente vigencia en el mes de enero, durante el Comité de Gestión y Desempeño. Está en proceso de implementación dicho plan.
2) La implementación del Sistema de Seguirdad de la Informa</t>
    </r>
    <r>
      <rPr>
        <sz val="11"/>
        <rFont val="Calibri"/>
        <family val="2"/>
        <scheme val="minor"/>
      </rPr>
      <t>ción se encuentra en un 96% dando cumplimiento al plan de trabajo aprobado al inicio del año. 
3) Se cierra la vigencia con el avance del 96% en la implementación del SGSI frente al ciclo PHVA. Se realizó la auditoría al SGSI por parte de price, generando el plan de mejoramiento en compañia de ellos como parte del proceso para solicitar la certificación a este sistema.</t>
    </r>
  </si>
  <si>
    <t>Nivel de implementación del Sistema de Seguridad de la información</t>
  </si>
  <si>
    <t>G31</t>
  </si>
  <si>
    <t xml:space="preserve"> Ausencia de la planeación del monitoreo del estado de los componentes del sistema de controlinterno, en el marco del Programa Anual de Auditoría</t>
  </si>
  <si>
    <t>Ausencia del profesional de control interno que lo elabore</t>
  </si>
  <si>
    <t>Posiibilidad de no llevar a cabo el monitoreo del estado de los componentes del sistema de control interno dada la ausencia de la planeación de dicho monitoreo en el marco del Programa Anual de Auditoría debido a la ausencia del profesional de control interno que lo elabore</t>
  </si>
  <si>
    <t>El profesional de control interno identifica y hace explícita la necesidad de continuidad del rol de control interno dentro de la entidad a través de un informe final de control interno vigencia 2022 con el propósito de asegurar recursos para la vigencia 2023</t>
  </si>
  <si>
    <t>Presentar el informe de Evaluación Independiente del Estado del Sistema de Control Interno ante el Comité Institucional de Coordinación de Control Interno</t>
  </si>
  <si>
    <t>01/12/2022
1/02/2023</t>
  </si>
  <si>
    <t>1) 13/06/2022 
2) 06/10/2022
3) 29/12/2022</t>
  </si>
  <si>
    <t>1) El informe se debe realizar al terminar la vigencia 2022 y se presenta en el primer trimestre de 2023
2) El avance de esta actividad se verá reflejado al finalizar la vigencia 2022 y actualizar los riegos en 2023, incluyendo en el informe el componente de gestión del riesgo (Riesgo G33)
3) El informe se presentará en el mes de enero 2023 dado que se evalua la vigencia 2022 completa.</t>
  </si>
  <si>
    <t>Informe de evaluación independiente del estado del sistema de control interno</t>
  </si>
  <si>
    <t>G32</t>
  </si>
  <si>
    <t>Ausencia de la planeación de la evaluación  del cumplimiento legal y regulatorio así como de la confiabilidad de la información financiera y no financiera en el Programa Anual de Auditoría</t>
  </si>
  <si>
    <t>No programación de auditorías a los procesos de Gestión Jurídica y Gestión Financiera</t>
  </si>
  <si>
    <t>Posiibilidad de no llevar a cabo la evaluación del cumplimiento legal y regulatorio así como de la confiabilidad de la información financiera y no financiera, dada la ausencia de la planeación de dicha evaluación en el Programa Anual de Auditoría, debido a la no programación de auditorías a los procesos de Gestión Jurídica y Gestión Financiera</t>
  </si>
  <si>
    <t>El profesional de control interno gestiona la programación de auditorías para los procesos de Gestión Jurídica y Gestión Financiera en el marco del Programa Anual de Auditorías para todas las vigencias</t>
  </si>
  <si>
    <t>Presentar el informe del cumplimiento del Programa Anual de Auditorías incluyendo los resultados de auditorías de los Procesos de Gestión Jurídica y Gestión Financiera ante el Comité Institucional de Coordinación de Control Interno</t>
  </si>
  <si>
    <t>13/06/2022
31/12/2022</t>
  </si>
  <si>
    <t>1) Se actualizará el Programa Anual de Auditorías incluyendo la realización de las auditorías de los procesos de Gestión Jurídica y Gestión Financiera por parte de la Revisoría Fiscal
2) En el mes de junio se realizó Comité en el cual se aprobó la adición de unas auditorías en el marco del cumplimiento de la ley 1519 de 2020 y auditorías a los procesos de gestión financiera y gestión jurídica por parte de la Revisoría Fiscal. Dichas auditorías se han realizado durante el segundo semestre del año y los informes reponsan en el repositorio de control interno.
3) En el mes de diciembre se presetaron los resultados de las auditorías de los procesos de gestión financiera y jurídica ante el comité de control interno. Así mismo se presenta esta información a través del seguimiento a los planes de mejoramiento que se han expuesto en los comités directivos de la entidad.</t>
  </si>
  <si>
    <t>Programa Anual de auditorías actualizado</t>
  </si>
  <si>
    <t>G33</t>
  </si>
  <si>
    <t>Ausencia de la planeación de  la elaboración de informes sobre las deficiencias de los controles, en el marco de la gestión del riesgo, en el Programa Anual de Auditoría</t>
  </si>
  <si>
    <t xml:space="preserve">Posibilidad de no realizar la elaboración de informes a las instancias correspondientes sobre las deficiencias de los controles, en el marco de la gestión del riesgo institucional, dada la ausencia de la planeación de dichos informes en el marco del Programa Anual de Auditoría debido a la ausencia del profesional de control interno que lo elabore  </t>
  </si>
  <si>
    <t>Este riesgo se contempla dentro del riesgo G31, por tanto el control y plan de tratamiento se asumen desde este.</t>
  </si>
  <si>
    <t>G34</t>
  </si>
  <si>
    <t>Ausencia de inclusión de la fuga de capital intelectual como acción para conservar el conocimiento de los colaboradores, como riesgo en el mapa de riesgos institucional</t>
  </si>
  <si>
    <t>Falta de planeación de la actividad de control de fuga de capital intelectual en los Planes de acción de Talento Humano y Gestión Documental</t>
  </si>
  <si>
    <t>Posibilidad de no gestionar los riesgos y controles relacionados con la fuga de capital intelectual como acción para conservar el conocimiento de los colaboradores, debido a la ausencia de inclusión como riesgo en el mapa de riesgos institucional, por la falta planeación de esta actividad en los Planes de acción de Talento Humano y Gestión Documental</t>
  </si>
  <si>
    <t>Los profesionales de Talento Humano y Gestión Documental incluirán dentro de los Planes de Acción de Talento Humano y Gestión Documental 2022 acciones para controlar la fuga de capital intelectual con el propósito de conservar el conocimiento de los colaboradores en la entidad</t>
  </si>
  <si>
    <t>Identificar las acciones que prevengan la fuga de capital intelectual desde los Planes de acción de Talento Humano y Gestión Documental en la vigencia 2022</t>
  </si>
  <si>
    <t>Profesional de Talento Humano
Profesional de Gestión Documental/Profesional Gestor de innovación</t>
  </si>
  <si>
    <t>1/01/2022 a 31/03/2022</t>
  </si>
  <si>
    <t>1) 16/05/2022</t>
  </si>
  <si>
    <t>1) Se incluyeron acciones en el Programa de Gestión Documental y en la estandarización de las TRD por cada proceso de la Agencia. Actividad finalizada</t>
  </si>
  <si>
    <t>Planes de acción de Talento Humano y Gestión Documental implementados</t>
  </si>
  <si>
    <t>Hacer seguimiento al cumplimiento del Plan de acción de Talento Humano y Gestión Documental incluyendo las acciones que prevengan la fuga de capital intelectual</t>
  </si>
  <si>
    <t>1/04/2022
31/12/2022</t>
  </si>
  <si>
    <t>1) 16/05/2022
2) 21/10/2022
3) 29/12/2022</t>
  </si>
  <si>
    <r>
      <t>1) Ya se cuentan con los diferentes repositorios que guardan la trazabilidad y gestión del conocimiento de los colaboradores en el marco de cada uno de los procesos, incluyendo los proyectos, desde Gestión Documental. Desde Gestión de Talento Humano se cuenta con los respositorios de todas las capacitaciones realizadas a los colaboradores de la entidad.
2) Se continúan manejando los repositorios para que los contratistas guarden las evidencias de las actividades  de la ejecución de su contrato. Lo anterior fortalece el mantenimiento de los entregables de los colaboradores previniendo la fuga de capital intelectual. De igual manera se realizaron unas capacitaciones desde talento humano para socializar y enseñar el manejo de los respositorios así como 4 sesiones para dar las pautas del proceso de gestión del conocimiento
3) Se cerró la vigencia dando continuidad al manejo de los respositorios para que los contratistas guarden las evidencias de sus actividades de ejecución del contrato. El plan de trabajo para la fuga de capital intelectual para la vigencia se cumplió en su totalidad. De igual manera, se elaboraron las m</t>
    </r>
    <r>
      <rPr>
        <sz val="11"/>
        <rFont val="Calibri"/>
        <family val="2"/>
        <scheme val="minor"/>
      </rPr>
      <t>emorias justificativas de los proyectos desde el 2018 hasta el 2022 con la descripción de la ejecución técnica, financiera y jurídica, previniendo la fuga de capital intelectual en el marco de la ejecución de los proyectos de la entidad.</t>
    </r>
  </si>
  <si>
    <t>Seguimientos de planes de acción de TH y G. Documental</t>
  </si>
  <si>
    <t>G35</t>
  </si>
  <si>
    <t>Poco conocimiento de herramientas de gestión institucionales por parte de los líderes de proceso</t>
  </si>
  <si>
    <t>Insuficiente capacitación para el trabajo articulado entre procesos</t>
  </si>
  <si>
    <t>Posibilidad de tener herramientas de gestión institucionales (plan de acción, mapa de riesgos, planes de mejoramiento, gestión documental y archivo, etc.) desarticuladas, debido al poco conocimiento de estas por parte de los líderes de proceso, dada la insuficiente capacitación para el trabajo articulado entre procesos</t>
  </si>
  <si>
    <t>Los profesionales de planeación llevan a cabo las capacitaciones relacionadas con el Sistema Integrado de Gestión a todas las áreas de la entidad con el propósito de fortalecer el conocimiento y manejo de las diferentes herramientas de gestión institucional para todos los líderes de proceso y sus equipos</t>
  </si>
  <si>
    <t>Incluir en el plan de trabajo del SIGAND las capacitaciones para los líderes de proceso y sus equipos, haciendo el seguimiento correspondiente para evaluar el cumplimiento de estas</t>
  </si>
  <si>
    <t>Profesional de apoyo Planeación</t>
  </si>
  <si>
    <t>1) 6/06/2022
2) 26/09/2022
3) 23/12/2022</t>
  </si>
  <si>
    <t xml:space="preserve">1) Se está trabajando en una camapaña de comunicación del SIGAND con el equipo de comunicaciones de la Dirección. Así mismo se incluyeron capacitaciones en el PIC con el equipo de talento humano asociadas a herramientas del gestión del SIGAND, tales como riesgos, indicadores, procesos, etc. Se espera programar las capacitaciones por área sobre el SIGAND en el segundo semestre del año
2) Se han llevado a cabo capacitaciones sobre el SIGAND y sus herramientas de gestión por procesos a las subdirecciones de Servicios Ciudadanos Digitales, Subdirección Administrativa y Financiera y Subdirección Jurídica. Se espera programar la capacitación con la Subdirección de Desarrollo en el último bimestre del año.
Así mismo, se está implementando la campaña de comunicación del SIGAND en donde se encuentran actividades planteadas desde los diferentes subsistemas del SIGAND (Subsistemas de Seguridad de la información, ambiental, documental, etc.) con el acompañamiento permanente del equipo de comunicaciones.
3) Se llevaron a cabo mesas de trabajo con delegados de la Subdirección de Desarrollo y de SCD, con quienes se revisó la herramienta de la intranet como herramienta del SIGAND y en la cual se encuentran todos los documentos de los procesos. Allí se realizó el análisis de los documentos que deben ser revisados para actualización o promover su implementación dentro de los equipos de trabajo de los proyectos, cerrando la vigencia con las capacitaciones realizadas y enfatizando con las subdirecciones misionales la implementación de los documentos y/o herramientas de gestión que tiene el SIGAND </t>
  </si>
  <si>
    <t xml:space="preserve">Capacitaciones realizadas </t>
  </si>
  <si>
    <t>G36</t>
  </si>
  <si>
    <t>Acumulación de periodos de vacaciones del personal de planta</t>
  </si>
  <si>
    <t>Insuficiente planeación por parte del personal y el seguimiento por parte de los jefes de área para el disfrute de los periodos de vacaciones del personal de planta</t>
  </si>
  <si>
    <t>Posibilidad de presentar problemas de salud en los empleados de planta o la perdida de periodos, debido a la acumulación de periodos de vacaciones, dada la insuficiente planeación por parte del personal y el seguimiento por parte de los jefes de área</t>
  </si>
  <si>
    <t>El profesional de apoyo administrativo realiza un informe trimestral para generar alertas y la Subdirectora Administrativa lo presenta ante el Comité Directivo para tomar decisiones al respecto.</t>
  </si>
  <si>
    <t>Elaborar y enviar al personal de planta un oficio en donde se genere la alerta del cumplimiento del periodo de vacaciones y la necesidad de solicitar su disfrute, teniendo en cuenta la normatividad aplicable y solicitando una respuesta por parte del personal</t>
  </si>
  <si>
    <t>Profesional de apoyo administrativo</t>
  </si>
  <si>
    <t>1) 23/05/2022
2) 12/10/2022
3) 29/12/2022</t>
  </si>
  <si>
    <t>1) Teniendo en cuenta la fecha de elaboración del presente plan de tratamiento, se iniciará la actividad a partir del mes de junio, teniendo en cuenta el cumplimiento de periodos de vacaciones del personal de planta.
2) El profesional de apoyo administrativo de la Subdirección Administrativa y Financiera elaboró y envió el memorando AND-FI-0025 de 2022, el 9 de agosto al personal de planta con la solicitud de programación de vacaciones periodo 2022 en el cua se relacionó la alerta del cumplimiento de periodos anteriores pendientes por disfrutar para cada colaborador. Después de este memorando, se programaron vacaciones de algunos colaboradores y actualmente se continúa haciendo el seguimiento. 
3) Se cierra la vigencia haciendo el seguimiento de los cargos de planta que aun no tomaron vacaciones y se encuentra que 3 ya las tomaron, otros 5 están ya programados para la siguiente vigencia y se espera que en el mes de enero se programen las del resto del equipo. Se continuará haciendo el seguimiento para que no se represen</t>
  </si>
  <si>
    <t>Oficios enviados al personal de planta</t>
  </si>
  <si>
    <t>G37</t>
  </si>
  <si>
    <t>No realizar control del desempeño de las funciones de los trabajadores de planta</t>
  </si>
  <si>
    <t xml:space="preserve">No se formalizan los compromisos de desempeño de las funciones de los trabajadores de planta en los formatos designados para tal fin  </t>
  </si>
  <si>
    <t xml:space="preserve">Posibilidad de no poder exigir de manera integral el desempeño de las funciones de los trabajadores de planta, dado que no se realiza control de la ejecución de esta actividad, ya que no se formalizan los compromisos en los formatos designados para tal fin  </t>
  </si>
  <si>
    <t xml:space="preserve">El profesional líder de talento humano realiza la socialización del procedimiento de evaluación de desempeño y solicita la formalización de los compromisos de desempeño de las funciones de los trabajadores de planta en los formatos designados para tal fin  </t>
  </si>
  <si>
    <t xml:space="preserve">Realizar el seguimiento a la formalización de los compromisos de desempeño de las funciones de los trabajadores de planta en los formatos designados para tal fin por parte de los jefes de área </t>
  </si>
  <si>
    <t>Líder de Talento Humano
Jefes de área (evaluadores)
Profesional de control interno</t>
  </si>
  <si>
    <t>1/02/2022
31/12/2022</t>
  </si>
  <si>
    <t>1) 16/05/2022
2) 21/10/2022</t>
  </si>
  <si>
    <t>1) La líder de talento humano realizó la solicitud de formalización de los compromisos de desempeño de las funciones de los trabajadores de planta en los formatos designados para tal fin por parte de los jefes de área, a través de correo electrónico durante los meses de febrero a abril de 2022. Se hizo una capacitación con algunos funcionarios sobre el procedimiento de evaluación de desempeño en el mes de abril.  Se realizará el seguimiento a la implementación del procedimiento de evaluación de desempeño durante el proceso de auditoría de la presente vigencia.
2) La auditoría se realizó en agosto por parte de la revisoría fiscal donde se verificó el cumplimiento de estos formatos establecidos para la evaluación de desempeño donde se encuentra los compromisos para el personal de planta. Actividad finalizada</t>
  </si>
  <si>
    <t>Formatos de evaluación de desempeño diligenciados</t>
  </si>
  <si>
    <t>G38</t>
  </si>
  <si>
    <t>Gestión 
Administrativa</t>
  </si>
  <si>
    <t>Falta de implementación de actividades de gestión ambiental</t>
  </si>
  <si>
    <t>Ausencia de  controles que aseguren la implementación del SGA</t>
  </si>
  <si>
    <t>Posibilidad de afectación reputacional por la no implementación de actividades de gestión ambiental debido a la falta de seguimiento por la ausencia de controles que aseguren la implementación y mejora del SGA</t>
  </si>
  <si>
    <t>El profesional de gestión ambiental  formula y presenta el plan anual de implementación y mejora del sistema de gestión ambiental para aprobación del(la) Subdirector(a) Administrativo(a)</t>
  </si>
  <si>
    <t>Probabilidad</t>
  </si>
  <si>
    <t>40%</t>
  </si>
  <si>
    <t>Realizar el control y seguimiento a la implementación de las actividades definidas en el plan del sistema de gestión ambiental, mediante reportes periodicos de avance.</t>
  </si>
  <si>
    <t xml:space="preserve">Profesional de Gestión Ambiental </t>
  </si>
  <si>
    <t>19/08/2022
31/12/2022</t>
  </si>
  <si>
    <t>1) 29/09/2022
2) 29/12/2022</t>
  </si>
  <si>
    <t>1) Se elaboró y remitió reporte del avance al plan de implementación y mejora del SGA para integrarlo al informe de gestión y a los seguimientos realizados en Comité Directivo (60,5%). Adicionalmente se elaboró y remitió informe con destino a la Subdirección Administrativa con corte a 29 de septiembre el cual tiene un avance del 71,5%.  
2) Se cierra la vigencia con un avance del 97% para la implementación del plan de trabajo del SGA, dando cumplimiento a lo proyectado para el 2022.</t>
  </si>
  <si>
    <t>Reportes de avance de implementación del plan del SGA</t>
  </si>
  <si>
    <t>G39</t>
  </si>
  <si>
    <t>Falta de aplicación de los controles y acciones definidos en la matriz de aspectos e impactos ambientale</t>
  </si>
  <si>
    <t>Indisponibilidad de información para  el seguimiento a la aplicación de los controles asociados a los aspectos e impactos ambientales, asi como los requistos legales ambientales.</t>
  </si>
  <si>
    <t>Posibilidad de afectación ambiental por la no aplicación de los controles y acciones definidas en la matriz de aspectos e impactos ambientales y/o matriz de requisitos legales ambientales, debido a la indisponibilidad de información para el seguimiento a la aplicación de los controles asociados a los aspectos e impactos ambientales, asi como los requistos legales ambientales.</t>
  </si>
  <si>
    <t>El profesional de gestión ambiental documenta los controles para cada uno de los aspectos e impactos valorados  en la matriz  de acuerdo con la metodología de valoración definida en el  procedimiento correspondiente para la aprobación del(la) Subdirector(a) Administrativo(a) y/o ajustes correspondientes.</t>
  </si>
  <si>
    <t>Efectuar reporte sobre la aplicación de los controles asociados a la matriz de aspectos e impactos y evaluación de cumplimiento de la matriz de requisitos legales a partir de los registros generados.</t>
  </si>
  <si>
    <t xml:space="preserve">1) Se elaboró y remitió informe con destino a la Subdirección Administrativa con corte a 29 de septiembre sobre el nivel de implementación del SGA donde se incluye información que describe como se están implementando los controles asociados en la matriz de aspectos e impactos ambientales, así como el nivel de cumplimiento de los requisitos legales.
2) Se cierra la vigencia realizando la evaluación y seguimiento al  cumplimiento del SGA de la entidad frente a los requisitos de  la norma NTC ISO 14001: 2015 con un nivel de cumplimiento del 83%, así como al nivel de cumplimiento de la normativa legal ambiental con un nivel de cumplimiento del 90%, el 10% restante corresponde a requisitos ambientales que tienen cumplimiento parcial y sobre los cuales se están adelantando las acciones correspondientes.    </t>
  </si>
  <si>
    <t>Reportes de avance de implementación de los controles de la  matriz de aspectos e impactos ambientales.</t>
  </si>
  <si>
    <t>Matriz de Calor Inherente</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</si>
  <si>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</si>
  <si>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</si>
  <si>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</si>
  <si>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</si>
  <si>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</si>
  <si>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</si>
  <si>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</si>
  <si>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</si>
  <si>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</si>
  <si>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</si>
  <si>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</si>
  <si>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</si>
  <si>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</si>
  <si>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</si>
  <si>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</si>
  <si>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</si>
  <si>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</si>
  <si>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</si>
  <si>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</si>
  <si>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</si>
  <si>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</si>
  <si>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</si>
  <si>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</si>
  <si>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</si>
  <si>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</si>
  <si>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</si>
  <si>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</si>
  <si>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</si>
  <si>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</si>
  <si>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</si>
  <si>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</si>
  <si>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</si>
  <si>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</si>
  <si>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</si>
  <si>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</si>
  <si>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</si>
  <si>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</si>
  <si>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</si>
  <si>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</si>
  <si>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</si>
  <si>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</si>
  <si>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</si>
  <si>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</si>
  <si>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</si>
  <si>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</si>
  <si>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</si>
  <si>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</si>
  <si>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</si>
  <si>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</si>
  <si>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</si>
  <si>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</si>
  <si>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</si>
  <si>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</si>
  <si>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</si>
  <si>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</si>
  <si>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</si>
  <si>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</si>
  <si>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</si>
  <si>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</si>
  <si>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</si>
  <si>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</si>
  <si>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</si>
  <si>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</si>
  <si>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</si>
  <si>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</si>
  <si>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</si>
  <si>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</si>
  <si>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</si>
  <si>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</si>
  <si>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</si>
  <si>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</si>
  <si>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</si>
  <si>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</si>
  <si>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</si>
  <si>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</si>
  <si>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</si>
  <si>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</si>
  <si>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</si>
  <si>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</si>
  <si>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60%* 40% = 24% 60% - 24% = 36% Valor probabilidad para aplicar 2o control 36% Valoración control 2 detectivo 30% 36%* 30% = 10,8% 36% - 10,8% = 25,2%</t>
  </si>
  <si>
    <t>Económico</t>
  </si>
  <si>
    <t>Evitar</t>
  </si>
  <si>
    <t>Reducir (compartir)</t>
  </si>
  <si>
    <t>Plan de accion (solo para la opción reducir)</t>
  </si>
  <si>
    <t>Daños Activos Fisicos</t>
  </si>
  <si>
    <t>Fallas Tecnologicas</t>
  </si>
  <si>
    <t>Fraude Externo</t>
  </si>
  <si>
    <t>Fraude Interno</t>
  </si>
  <si>
    <t>Relaciones Laborales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</si>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</sst>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28"/>
      <color rgb="FF000000"/>
      <name val="Calibri"/>
      <family val="2"/>
    </font>
    <font>
      <b/>
      <sz val="36"/>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0"/>
      <name val="Calibri"/>
      <family val="2"/>
      <scheme val="minor"/>
    </font>
    <font>
      <b/>
      <sz val="11"/>
      <color theme="1"/>
      <name val="Calibri"/>
      <family val="2"/>
      <scheme val="minor"/>
    </font>
    <font>
      <b/>
      <sz val="11"/>
      <color theme="1"/>
      <name val="Calibri"/>
      <family val="2"/>
    </font>
    <font>
      <b/>
      <sz val="20"/>
      <color theme="0"/>
      <name val="Calibri"/>
      <family val="2"/>
      <scheme val="minor"/>
    </font>
    <font>
      <sz val="8"/>
      <name val="Calibri"/>
      <family val="2"/>
      <scheme val="minor"/>
    </font>
    <font>
      <b/>
      <sz val="28"/>
      <name val="Calibri"/>
      <family val="2"/>
    </font>
    <font>
      <b/>
      <sz val="28"/>
      <color theme="1"/>
      <name val="Calibri"/>
      <family val="2"/>
      <scheme val="minor"/>
    </font>
    <font>
      <sz val="28"/>
      <color theme="1"/>
      <name val="Arial Narrow"/>
      <family val="2"/>
    </font>
    <font>
      <b/>
      <sz val="28"/>
      <color rgb="FFFF0000"/>
      <name val="Calibri"/>
      <family val="2"/>
    </font>
  </fonts>
  <fills count="2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2060"/>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9" tint="-0.249977111117893"/>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style="dashed">
        <color theme="9" tint="-0.24994659260841701"/>
      </top>
      <bottom/>
      <diagonal/>
    </border>
    <border>
      <left/>
      <right style="dashed">
        <color theme="9" tint="-0.24994659260841701"/>
      </right>
      <top/>
      <bottom/>
      <diagonal/>
    </border>
    <border>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style="dashed">
        <color rgb="FFFF9900"/>
      </bottom>
      <diagonal/>
    </border>
    <border>
      <left style="dashed">
        <color theme="9" tint="-0.24994659260841701"/>
      </left>
      <right style="dashed">
        <color theme="9" tint="-0.24994659260841701"/>
      </right>
      <top style="dashed">
        <color theme="9" tint="-0.24994659260841701"/>
      </top>
      <bottom style="dashed">
        <color theme="9"/>
      </bottom>
      <diagonal/>
    </border>
    <border>
      <left style="dashed">
        <color theme="9"/>
      </left>
      <right style="dashed">
        <color theme="9" tint="-0.24994659260841701"/>
      </right>
      <top style="dashed">
        <color theme="9"/>
      </top>
      <bottom style="dashed">
        <color theme="9"/>
      </bottom>
      <diagonal/>
    </border>
    <border>
      <left style="dashed">
        <color theme="9" tint="-0.24994659260841701"/>
      </left>
      <right style="dashed">
        <color theme="9" tint="-0.24994659260841701"/>
      </right>
      <top style="dashed">
        <color theme="9"/>
      </top>
      <bottom style="dashed">
        <color theme="9"/>
      </bottom>
      <diagonal/>
    </border>
    <border>
      <left/>
      <right/>
      <top style="dashed">
        <color theme="9"/>
      </top>
      <bottom style="dashed">
        <color theme="9"/>
      </bottom>
      <diagonal/>
    </border>
    <border>
      <left/>
      <right style="dashed">
        <color theme="9"/>
      </right>
      <top style="dashed">
        <color theme="9"/>
      </top>
      <bottom style="dashed">
        <color theme="9"/>
      </bottom>
      <diagonal/>
    </border>
  </borders>
  <cellStyleXfs count="5">
    <xf numFmtId="0" fontId="0" fillId="0" borderId="0"/>
    <xf numFmtId="9" fontId="14" fillId="0" borderId="0" applyFont="0" applyFill="0" applyBorder="0" applyAlignment="0" applyProtection="0"/>
    <xf numFmtId="0" fontId="40" fillId="0" borderId="0"/>
    <xf numFmtId="0" fontId="41" fillId="0" borderId="0"/>
    <xf numFmtId="0" fontId="5" fillId="0" borderId="0"/>
  </cellStyleXfs>
  <cellXfs count="55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2" fillId="0" borderId="0" xfId="0" applyFont="1" applyAlignment="1">
      <alignment horizontal="justify" vertical="center" wrapText="1" readingOrder="1"/>
    </xf>
    <xf numFmtId="0" fontId="26" fillId="0" borderId="0" xfId="0" applyFont="1"/>
    <xf numFmtId="0" fontId="28" fillId="6" borderId="0" xfId="0" applyFont="1" applyFill="1" applyAlignment="1">
      <alignment horizontal="center" vertical="center" wrapText="1" readingOrder="1"/>
    </xf>
    <xf numFmtId="0" fontId="29" fillId="0" borderId="11" xfId="0" applyFont="1" applyBorder="1" applyAlignment="1">
      <alignment horizontal="justify" vertical="center" wrapText="1" readingOrder="1"/>
    </xf>
    <xf numFmtId="0" fontId="29" fillId="0" borderId="1" xfId="0" applyFont="1" applyBorder="1" applyAlignment="1">
      <alignment horizontal="justify" vertical="center" wrapText="1" readingOrder="1"/>
    </xf>
    <xf numFmtId="0" fontId="29" fillId="5" borderId="11"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11"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0" fillId="3" borderId="0" xfId="0" applyFill="1"/>
    <xf numFmtId="0" fontId="42" fillId="3" borderId="49" xfId="2" applyFont="1" applyFill="1" applyBorder="1"/>
    <xf numFmtId="0" fontId="42" fillId="3" borderId="50" xfId="2" applyFont="1" applyFill="1" applyBorder="1"/>
    <xf numFmtId="0" fontId="42" fillId="3" borderId="51" xfId="2" applyFont="1" applyFill="1" applyBorder="1"/>
    <xf numFmtId="0" fontId="16" fillId="3" borderId="0" xfId="0" applyFont="1" applyFill="1" applyAlignment="1">
      <alignment vertical="center"/>
    </xf>
    <xf numFmtId="0" fontId="5" fillId="3" borderId="0" xfId="0" applyFont="1" applyFill="1"/>
    <xf numFmtId="0" fontId="32" fillId="3" borderId="0" xfId="0" applyFont="1" applyFill="1"/>
    <xf numFmtId="0" fontId="33" fillId="3" borderId="32" xfId="0" applyFont="1" applyFill="1" applyBorder="1" applyAlignment="1">
      <alignment horizontal="center" vertical="center" wrapText="1" readingOrder="1"/>
    </xf>
    <xf numFmtId="0" fontId="34" fillId="3" borderId="32" xfId="0" applyFont="1" applyFill="1" applyBorder="1" applyAlignment="1">
      <alignment horizontal="justify" vertical="center" wrapText="1" readingOrder="1"/>
    </xf>
    <xf numFmtId="9" fontId="33" fillId="3" borderId="41" xfId="0" applyNumberFormat="1"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4" fillId="3" borderId="31" xfId="0" applyFont="1" applyFill="1" applyBorder="1" applyAlignment="1">
      <alignment horizontal="justify" vertical="center" wrapText="1" readingOrder="1"/>
    </xf>
    <xf numFmtId="9" fontId="33" fillId="3" borderId="36" xfId="0" applyNumberFormat="1" applyFont="1" applyFill="1" applyBorder="1" applyAlignment="1">
      <alignment horizontal="center" vertical="center" wrapText="1" readingOrder="1"/>
    </xf>
    <xf numFmtId="0" fontId="34" fillId="3" borderId="36" xfId="0" applyFont="1" applyFill="1" applyBorder="1" applyAlignment="1">
      <alignment horizontal="center" vertical="center" wrapText="1" readingOrder="1"/>
    </xf>
    <xf numFmtId="0" fontId="33" fillId="3" borderId="38" xfId="0" applyFont="1" applyFill="1" applyBorder="1" applyAlignment="1">
      <alignment horizontal="center" vertical="center" wrapText="1" readingOrder="1"/>
    </xf>
    <xf numFmtId="0" fontId="34" fillId="3" borderId="38" xfId="0" applyFont="1" applyFill="1" applyBorder="1" applyAlignment="1">
      <alignment horizontal="justify" vertical="center" wrapText="1" readingOrder="1"/>
    </xf>
    <xf numFmtId="0" fontId="34" fillId="3" borderId="39" xfId="0" applyFont="1" applyFill="1" applyBorder="1" applyAlignment="1">
      <alignment horizontal="center" vertical="center" wrapText="1" readingOrder="1"/>
    </xf>
    <xf numFmtId="0" fontId="39" fillId="3" borderId="0" xfId="0" applyFont="1" applyFill="1"/>
    <xf numFmtId="0" fontId="33" fillId="15" borderId="43" xfId="0" applyFont="1" applyFill="1" applyBorder="1" applyAlignment="1">
      <alignment horizontal="center" vertical="center" wrapText="1" readingOrder="1"/>
    </xf>
    <xf numFmtId="0" fontId="33" fillId="15" borderId="44" xfId="0" applyFont="1" applyFill="1" applyBorder="1" applyAlignment="1">
      <alignment horizontal="center" vertical="center" wrapText="1" readingOrder="1"/>
    </xf>
    <xf numFmtId="0" fontId="13" fillId="3" borderId="0" xfId="0" applyFont="1" applyFill="1"/>
    <xf numFmtId="0" fontId="27"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2" fillId="3" borderId="14" xfId="2" applyFont="1" applyFill="1" applyBorder="1"/>
    <xf numFmtId="0" fontId="47" fillId="3" borderId="0" xfId="0" applyFont="1" applyFill="1" applyAlignment="1">
      <alignment horizontal="left" vertical="center" wrapText="1"/>
    </xf>
    <xf numFmtId="0" fontId="48" fillId="3" borderId="0" xfId="0" applyFont="1" applyFill="1" applyAlignment="1">
      <alignment horizontal="left" vertical="top" wrapText="1"/>
    </xf>
    <xf numFmtId="0" fontId="42" fillId="3" borderId="0" xfId="2" applyFont="1" applyFill="1"/>
    <xf numFmtId="0" fontId="42" fillId="3" borderId="15" xfId="2" applyFont="1" applyFill="1" applyBorder="1"/>
    <xf numFmtId="0" fontId="42" fillId="3" borderId="16" xfId="2" applyFont="1" applyFill="1" applyBorder="1"/>
    <xf numFmtId="0" fontId="42" fillId="3" borderId="18" xfId="2" applyFont="1" applyFill="1" applyBorder="1"/>
    <xf numFmtId="0" fontId="42" fillId="3" borderId="17" xfId="2" applyFont="1" applyFill="1" applyBorder="1"/>
    <xf numFmtId="0" fontId="46" fillId="3" borderId="0" xfId="2" applyFont="1" applyFill="1" applyAlignment="1">
      <alignment horizontal="left" vertical="center" wrapText="1"/>
    </xf>
    <xf numFmtId="0" fontId="42" fillId="3" borderId="0" xfId="2" applyFont="1" applyFill="1" applyAlignment="1">
      <alignment horizontal="left" vertical="center" wrapText="1"/>
    </xf>
    <xf numFmtId="0" fontId="42" fillId="3" borderId="0" xfId="2" quotePrefix="1" applyFont="1" applyFill="1" applyAlignment="1">
      <alignment horizontal="left" vertical="center" wrapText="1"/>
    </xf>
    <xf numFmtId="0" fontId="44" fillId="3" borderId="14" xfId="2" quotePrefix="1" applyFont="1" applyFill="1" applyBorder="1" applyAlignment="1">
      <alignment horizontal="left" vertical="top" wrapText="1"/>
    </xf>
    <xf numFmtId="0" fontId="45" fillId="3" borderId="0" xfId="2" quotePrefix="1" applyFont="1" applyFill="1" applyAlignment="1">
      <alignment horizontal="left" vertical="top" wrapText="1"/>
    </xf>
    <xf numFmtId="0" fontId="45" fillId="3" borderId="15" xfId="2" quotePrefix="1" applyFont="1" applyFill="1" applyBorder="1" applyAlignment="1">
      <alignment horizontal="left" vertical="top" wrapText="1"/>
    </xf>
    <xf numFmtId="0" fontId="1" fillId="3" borderId="0" xfId="0" applyFont="1" applyFill="1" applyAlignment="1">
      <alignment horizontal="left" vertical="center"/>
    </xf>
    <xf numFmtId="0" fontId="53" fillId="3" borderId="0" xfId="0" applyFont="1" applyFill="1" applyAlignment="1">
      <alignment horizontal="left" vertical="center"/>
    </xf>
    <xf numFmtId="0" fontId="21" fillId="3" borderId="0" xfId="0" applyFont="1" applyFill="1" applyAlignment="1">
      <alignment vertical="center"/>
    </xf>
    <xf numFmtId="0" fontId="7" fillId="3" borderId="0" xfId="0" applyFont="1" applyFill="1" applyAlignment="1" applyProtection="1">
      <alignment horizontal="left" vertical="center"/>
      <protection locked="0"/>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hidden="1"/>
    </xf>
    <xf numFmtId="0" fontId="0" fillId="0" borderId="2" xfId="0" applyBorder="1" applyAlignment="1" applyProtection="1">
      <alignment horizontal="center" vertical="center" textRotation="90"/>
      <protection locked="0"/>
    </xf>
    <xf numFmtId="9" fontId="0" fillId="0" borderId="2" xfId="0" applyNumberForma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0" fillId="0" borderId="4" xfId="0" applyNumberForma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0" fillId="0" borderId="4" xfId="0" applyBorder="1" applyAlignment="1" applyProtection="1">
      <alignment horizontal="center" vertical="center" textRotation="90"/>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justify" vertical="center"/>
      <protection locked="0"/>
    </xf>
    <xf numFmtId="0" fontId="0" fillId="0" borderId="2" xfId="0" applyBorder="1" applyAlignment="1" applyProtection="1">
      <alignment horizontal="justify" vertical="center" wrapText="1"/>
      <protection locked="0"/>
    </xf>
    <xf numFmtId="0" fontId="51" fillId="16" borderId="3" xfId="0" applyFont="1" applyFill="1" applyBorder="1" applyAlignment="1">
      <alignment vertical="center"/>
    </xf>
    <xf numFmtId="0" fontId="51" fillId="16" borderId="30" xfId="0" applyFont="1" applyFill="1" applyBorder="1" applyAlignment="1">
      <alignment vertical="center"/>
    </xf>
    <xf numFmtId="0" fontId="51" fillId="18" borderId="2" xfId="0" applyFont="1" applyFill="1" applyBorder="1" applyAlignment="1">
      <alignment horizontal="center" vertical="center" textRotation="90"/>
    </xf>
    <xf numFmtId="0" fontId="4" fillId="0" borderId="0" xfId="0" applyFont="1" applyAlignment="1">
      <alignment horizontal="center" vertical="center"/>
    </xf>
    <xf numFmtId="0" fontId="15" fillId="0" borderId="4" xfId="0" applyFont="1" applyBorder="1" applyAlignment="1" applyProtection="1">
      <alignment horizontal="center" vertical="center" wrapText="1"/>
      <protection locked="0"/>
    </xf>
    <xf numFmtId="0" fontId="51" fillId="18" borderId="5" xfId="0" applyFont="1" applyFill="1" applyBorder="1" applyAlignment="1">
      <alignment horizontal="center" vertical="center" wrapText="1"/>
    </xf>
    <xf numFmtId="0" fontId="52" fillId="3" borderId="0" xfId="0" applyFont="1" applyFill="1"/>
    <xf numFmtId="14" fontId="0" fillId="0" borderId="2" xfId="0" applyNumberFormat="1" applyBorder="1" applyAlignment="1" applyProtection="1">
      <alignment horizontal="center" vertical="center" wrapText="1"/>
      <protection locked="0"/>
    </xf>
    <xf numFmtId="0" fontId="0" fillId="0" borderId="73" xfId="0" applyBorder="1" applyAlignment="1">
      <alignment horizontal="center" vertical="center"/>
    </xf>
    <xf numFmtId="0" fontId="0" fillId="0" borderId="0" xfId="0" applyAlignment="1">
      <alignment vertical="center" wrapText="1"/>
    </xf>
    <xf numFmtId="9" fontId="0" fillId="0" borderId="4" xfId="0" applyNumberFormat="1" applyBorder="1" applyAlignment="1" applyProtection="1">
      <alignment vertical="center" wrapText="1"/>
      <protection hidden="1"/>
    </xf>
    <xf numFmtId="0" fontId="0" fillId="0" borderId="4" xfId="0" applyBorder="1" applyAlignment="1" applyProtection="1">
      <alignment vertical="center" wrapText="1"/>
      <protection locked="0"/>
    </xf>
    <xf numFmtId="0" fontId="0" fillId="0" borderId="4" xfId="0" applyBorder="1" applyAlignment="1">
      <alignment vertical="center" wrapText="1"/>
    </xf>
    <xf numFmtId="0" fontId="15" fillId="0" borderId="4" xfId="0" applyFont="1" applyBorder="1" applyAlignment="1" applyProtection="1">
      <alignment vertical="center" wrapText="1"/>
      <protection locked="0"/>
    </xf>
    <xf numFmtId="9" fontId="0" fillId="0" borderId="4" xfId="0" applyNumberFormat="1" applyBorder="1" applyAlignment="1" applyProtection="1">
      <alignment vertical="center" wrapText="1"/>
      <protection locked="0"/>
    </xf>
    <xf numFmtId="0" fontId="0" fillId="0" borderId="29" xfId="0" applyBorder="1" applyAlignment="1">
      <alignment vertical="center" wrapText="1"/>
    </xf>
    <xf numFmtId="0" fontId="0" fillId="0" borderId="4" xfId="0" applyBorder="1" applyAlignment="1" applyProtection="1">
      <alignment horizontal="center" vertical="center" wrapText="1"/>
      <protection locked="0"/>
    </xf>
    <xf numFmtId="0" fontId="0" fillId="0" borderId="4" xfId="0" applyBorder="1" applyAlignment="1">
      <alignment horizontal="center" vertical="center"/>
    </xf>
    <xf numFmtId="9" fontId="0" fillId="0" borderId="4" xfId="0" applyNumberForma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protection hidden="1"/>
    </xf>
    <xf numFmtId="0" fontId="0" fillId="0" borderId="4" xfId="0" applyBorder="1" applyAlignment="1" applyProtection="1">
      <alignment horizontal="center" vertical="center"/>
      <protection locked="0"/>
    </xf>
    <xf numFmtId="0" fontId="0" fillId="0" borderId="2" xfId="0" applyBorder="1" applyAlignment="1" applyProtection="1">
      <alignment vertical="center" wrapText="1"/>
      <protection locked="0"/>
    </xf>
    <xf numFmtId="9" fontId="5" fillId="3" borderId="0" xfId="0" applyNumberFormat="1" applyFont="1" applyFill="1"/>
    <xf numFmtId="9" fontId="5" fillId="3" borderId="0" xfId="1" applyFont="1" applyFill="1"/>
    <xf numFmtId="0" fontId="0" fillId="0" borderId="0" xfId="0" applyAlignment="1">
      <alignment horizontal="center" vertical="center"/>
    </xf>
    <xf numFmtId="9" fontId="1" fillId="3" borderId="0" xfId="0" applyNumberFormat="1" applyFont="1" applyFill="1"/>
    <xf numFmtId="9" fontId="51" fillId="16" borderId="30" xfId="0" applyNumberFormat="1" applyFont="1" applyFill="1" applyBorder="1" applyAlignment="1">
      <alignment vertical="center"/>
    </xf>
    <xf numFmtId="9" fontId="0" fillId="0" borderId="2" xfId="1" applyFont="1" applyBorder="1" applyAlignment="1">
      <alignment horizontal="center" vertical="center"/>
    </xf>
    <xf numFmtId="9" fontId="1" fillId="0" borderId="0" xfId="0" applyNumberFormat="1" applyFont="1"/>
    <xf numFmtId="0" fontId="19" fillId="12" borderId="0" xfId="0" applyFont="1" applyFill="1" applyAlignment="1" applyProtection="1">
      <alignment wrapText="1" readingOrder="1"/>
      <protection hidden="1"/>
    </xf>
    <xf numFmtId="0" fontId="19" fillId="12" borderId="15" xfId="0" applyFont="1" applyFill="1" applyBorder="1" applyAlignment="1" applyProtection="1">
      <alignment wrapText="1" readingOrder="1"/>
      <protection hidden="1"/>
    </xf>
    <xf numFmtId="0" fontId="19" fillId="12" borderId="18" xfId="0" applyFont="1" applyFill="1" applyBorder="1" applyAlignment="1" applyProtection="1">
      <alignment wrapText="1" readingOrder="1"/>
      <protection hidden="1"/>
    </xf>
    <xf numFmtId="0" fontId="19" fillId="12" borderId="17" xfId="0" applyFont="1" applyFill="1" applyBorder="1" applyAlignment="1" applyProtection="1">
      <alignment wrapText="1" readingOrder="1"/>
      <protection hidden="1"/>
    </xf>
    <xf numFmtId="0" fontId="19" fillId="12" borderId="19" xfId="0" applyFont="1" applyFill="1" applyBorder="1" applyAlignment="1" applyProtection="1">
      <alignment wrapText="1" readingOrder="1"/>
      <protection hidden="1"/>
    </xf>
    <xf numFmtId="0" fontId="19" fillId="12" borderId="13" xfId="0" applyFont="1" applyFill="1" applyBorder="1" applyAlignment="1" applyProtection="1">
      <alignment wrapText="1" readingOrder="1"/>
      <protection hidden="1"/>
    </xf>
    <xf numFmtId="0" fontId="15" fillId="0" borderId="2" xfId="0" applyFont="1" applyBorder="1" applyAlignment="1" applyProtection="1">
      <alignment horizontal="center" vertical="center" wrapText="1"/>
      <protection locked="0"/>
    </xf>
    <xf numFmtId="0" fontId="56" fillId="13" borderId="12" xfId="0" applyFont="1" applyFill="1" applyBorder="1" applyAlignment="1" applyProtection="1">
      <alignment wrapText="1" readingOrder="1"/>
      <protection hidden="1"/>
    </xf>
    <xf numFmtId="0" fontId="56" fillId="13" borderId="19" xfId="0" applyFont="1" applyFill="1" applyBorder="1" applyAlignment="1" applyProtection="1">
      <alignment wrapText="1" readingOrder="1"/>
      <protection hidden="1"/>
    </xf>
    <xf numFmtId="0" fontId="56" fillId="13" borderId="14" xfId="0" applyFont="1" applyFill="1" applyBorder="1" applyAlignment="1" applyProtection="1">
      <alignment wrapText="1" readingOrder="1"/>
      <protection hidden="1"/>
    </xf>
    <xf numFmtId="0" fontId="56" fillId="13" borderId="0" xfId="0" applyFont="1" applyFill="1" applyAlignment="1" applyProtection="1">
      <alignment wrapText="1" readingOrder="1"/>
      <protection hidden="1"/>
    </xf>
    <xf numFmtId="0" fontId="56" fillId="13" borderId="15" xfId="0" applyFont="1" applyFill="1" applyBorder="1" applyAlignment="1" applyProtection="1">
      <alignment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56" fillId="11" borderId="12" xfId="0" applyFont="1" applyFill="1" applyBorder="1" applyAlignment="1" applyProtection="1">
      <alignment horizontal="center" vertical="center" wrapText="1" readingOrder="1"/>
      <protection hidden="1"/>
    </xf>
    <xf numFmtId="0" fontId="56" fillId="11" borderId="19" xfId="0" applyFont="1" applyFill="1" applyBorder="1" applyAlignment="1" applyProtection="1">
      <alignment horizontal="center" vertical="center" wrapText="1" readingOrder="1"/>
      <protection hidden="1"/>
    </xf>
    <xf numFmtId="0" fontId="56" fillId="11" borderId="14" xfId="0" applyFont="1" applyFill="1" applyBorder="1" applyAlignment="1" applyProtection="1">
      <alignment horizontal="center" vertical="center" wrapText="1" readingOrder="1"/>
      <protection hidden="1"/>
    </xf>
    <xf numFmtId="0" fontId="56" fillId="11" borderId="0" xfId="0" applyFont="1" applyFill="1" applyAlignment="1" applyProtection="1">
      <alignment horizontal="center" vertical="center" wrapText="1" readingOrder="1"/>
      <protection hidden="1"/>
    </xf>
    <xf numFmtId="0" fontId="56" fillId="11" borderId="13" xfId="0" applyFont="1" applyFill="1" applyBorder="1" applyAlignment="1" applyProtection="1">
      <alignment horizontal="center" vertical="center" wrapText="1" readingOrder="1"/>
      <protection hidden="1"/>
    </xf>
    <xf numFmtId="0" fontId="56" fillId="11" borderId="15" xfId="0" applyFont="1" applyFill="1" applyBorder="1" applyAlignment="1" applyProtection="1">
      <alignment horizontal="center" vertical="center" wrapText="1" readingOrder="1"/>
      <protection hidden="1"/>
    </xf>
    <xf numFmtId="0" fontId="56" fillId="11" borderId="16" xfId="0" applyFont="1" applyFill="1" applyBorder="1" applyAlignment="1" applyProtection="1">
      <alignment horizontal="center" vertical="center" wrapText="1" readingOrder="1"/>
      <protection hidden="1"/>
    </xf>
    <xf numFmtId="0" fontId="56" fillId="11" borderId="18" xfId="0" applyFont="1" applyFill="1" applyBorder="1" applyAlignment="1" applyProtection="1">
      <alignment horizontal="center" vertical="center" wrapText="1" readingOrder="1"/>
      <protection hidden="1"/>
    </xf>
    <xf numFmtId="0" fontId="56" fillId="11" borderId="17"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56" fillId="13" borderId="0" xfId="0" applyFont="1" applyFill="1" applyAlignment="1" applyProtection="1">
      <alignment horizontal="center" wrapText="1" readingOrder="1"/>
      <protection hidden="1"/>
    </xf>
    <xf numFmtId="0" fontId="56" fillId="13" borderId="15" xfId="0" applyFont="1" applyFill="1" applyBorder="1" applyAlignment="1" applyProtection="1">
      <alignment horizontal="center" wrapText="1" readingOrder="1"/>
      <protection hidden="1"/>
    </xf>
    <xf numFmtId="0" fontId="56" fillId="13" borderId="18" xfId="0" applyFont="1" applyFill="1" applyBorder="1" applyAlignment="1" applyProtection="1">
      <alignment horizontal="center" wrapText="1" readingOrder="1"/>
      <protection hidden="1"/>
    </xf>
    <xf numFmtId="0" fontId="56" fillId="13" borderId="17" xfId="0" applyFont="1" applyFill="1" applyBorder="1" applyAlignment="1" applyProtection="1">
      <alignment horizontal="center" wrapText="1" readingOrder="1"/>
      <protection hidden="1"/>
    </xf>
    <xf numFmtId="0" fontId="56" fillId="13" borderId="19" xfId="0" applyFont="1" applyFill="1" applyBorder="1" applyAlignment="1" applyProtection="1">
      <alignment horizontal="center" wrapText="1" readingOrder="1"/>
      <protection hidden="1"/>
    </xf>
    <xf numFmtId="0" fontId="56" fillId="13" borderId="13" xfId="0" applyFont="1" applyFill="1" applyBorder="1" applyAlignment="1" applyProtection="1">
      <alignment horizontal="center" wrapText="1" readingOrder="1"/>
      <protection hidden="1"/>
    </xf>
    <xf numFmtId="0" fontId="56" fillId="13" borderId="14" xfId="0" applyFont="1" applyFill="1" applyBorder="1" applyAlignment="1" applyProtection="1">
      <alignment horizontal="center" wrapText="1" readingOrder="1"/>
      <protection hidden="1"/>
    </xf>
    <xf numFmtId="0" fontId="56" fillId="13" borderId="16" xfId="0" applyFont="1" applyFill="1" applyBorder="1" applyAlignment="1" applyProtection="1">
      <alignment horizontal="center" wrapText="1" readingOrder="1"/>
      <protection hidden="1"/>
    </xf>
    <xf numFmtId="0" fontId="56" fillId="13" borderId="12" xfId="0" applyFont="1" applyFill="1" applyBorder="1" applyAlignment="1" applyProtection="1">
      <alignment horizontal="center" wrapText="1" readingOrder="1"/>
      <protection hidden="1"/>
    </xf>
    <xf numFmtId="0" fontId="56" fillId="5" borderId="0" xfId="0" applyFont="1" applyFill="1" applyAlignment="1" applyProtection="1">
      <alignment horizontal="center" wrapText="1" readingOrder="1"/>
      <protection hidden="1"/>
    </xf>
    <xf numFmtId="0" fontId="56" fillId="5" borderId="15" xfId="0" applyFont="1" applyFill="1" applyBorder="1" applyAlignment="1" applyProtection="1">
      <alignment horizontal="center" wrapText="1" readingOrder="1"/>
      <protection hidden="1"/>
    </xf>
    <xf numFmtId="0" fontId="56" fillId="5" borderId="18" xfId="0" applyFont="1" applyFill="1" applyBorder="1" applyAlignment="1" applyProtection="1">
      <alignment horizontal="center" wrapText="1" readingOrder="1"/>
      <protection hidden="1"/>
    </xf>
    <xf numFmtId="0" fontId="56" fillId="5" borderId="17" xfId="0" applyFont="1" applyFill="1" applyBorder="1" applyAlignment="1" applyProtection="1">
      <alignment horizontal="center" wrapText="1" readingOrder="1"/>
      <protection hidden="1"/>
    </xf>
    <xf numFmtId="0" fontId="56" fillId="5" borderId="19" xfId="0" applyFont="1" applyFill="1" applyBorder="1" applyAlignment="1" applyProtection="1">
      <alignment horizontal="center" wrapText="1" readingOrder="1"/>
      <protection hidden="1"/>
    </xf>
    <xf numFmtId="0" fontId="56" fillId="5" borderId="13" xfId="0" applyFont="1" applyFill="1" applyBorder="1" applyAlignment="1" applyProtection="1">
      <alignment horizontal="center" wrapText="1" readingOrder="1"/>
      <protection hidden="1"/>
    </xf>
    <xf numFmtId="0" fontId="56" fillId="5" borderId="14" xfId="0" applyFont="1" applyFill="1" applyBorder="1" applyAlignment="1" applyProtection="1">
      <alignment horizontal="center" wrapText="1" readingOrder="1"/>
      <protection hidden="1"/>
    </xf>
    <xf numFmtId="0" fontId="56" fillId="5" borderId="16" xfId="0" applyFont="1" applyFill="1" applyBorder="1" applyAlignment="1" applyProtection="1">
      <alignment horizontal="center" wrapText="1" readingOrder="1"/>
      <protection hidden="1"/>
    </xf>
    <xf numFmtId="0" fontId="56" fillId="5" borderId="12" xfId="0" applyFont="1" applyFill="1" applyBorder="1" applyAlignment="1" applyProtection="1">
      <alignment horizontal="center" wrapText="1" readingOrder="1"/>
      <protection hidden="1"/>
    </xf>
    <xf numFmtId="0" fontId="17" fillId="3" borderId="0" xfId="0" applyFont="1" applyFill="1"/>
    <xf numFmtId="0" fontId="56" fillId="19" borderId="0" xfId="0" applyFont="1" applyFill="1" applyAlignment="1" applyProtection="1">
      <alignment horizontal="center" vertical="center" wrapText="1" readingOrder="1"/>
      <protection hidden="1"/>
    </xf>
    <xf numFmtId="0" fontId="56" fillId="5" borderId="18" xfId="0" applyFont="1" applyFill="1" applyBorder="1" applyAlignment="1" applyProtection="1">
      <alignment horizontal="center" vertical="center" wrapText="1" readingOrder="1"/>
      <protection hidden="1"/>
    </xf>
    <xf numFmtId="0" fontId="15" fillId="0" borderId="2" xfId="0" applyFont="1"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73" xfId="0" applyBorder="1" applyAlignment="1" applyProtection="1">
      <alignment horizontal="center" vertical="center" textRotation="90"/>
      <protection locked="0"/>
    </xf>
    <xf numFmtId="0" fontId="52" fillId="0" borderId="4" xfId="0" applyFont="1" applyBorder="1" applyAlignment="1" applyProtection="1">
      <alignment horizontal="center" vertical="center" textRotation="90"/>
      <protection hidden="1"/>
    </xf>
    <xf numFmtId="9" fontId="0" fillId="0" borderId="29" xfId="0" applyNumberFormat="1" applyBorder="1" applyAlignment="1" applyProtection="1">
      <alignment horizontal="center" vertical="center"/>
      <protection hidden="1"/>
    </xf>
    <xf numFmtId="0" fontId="52" fillId="0" borderId="4" xfId="0" applyFont="1" applyBorder="1" applyAlignment="1" applyProtection="1">
      <alignment horizontal="center" vertical="center" textRotation="90" wrapText="1"/>
      <protection hidden="1"/>
    </xf>
    <xf numFmtId="0" fontId="0" fillId="0" borderId="29" xfId="0" applyBorder="1" applyAlignment="1" applyProtection="1">
      <alignment horizontal="center" vertical="center" textRotation="90"/>
      <protection locked="0"/>
    </xf>
    <xf numFmtId="0" fontId="0" fillId="0" borderId="4" xfId="0" applyBorder="1" applyAlignment="1" applyProtection="1">
      <alignment horizontal="center" vertical="center"/>
      <protection hidden="1"/>
    </xf>
    <xf numFmtId="9" fontId="0" fillId="0" borderId="29" xfId="1" applyFont="1" applyBorder="1" applyAlignment="1">
      <alignment horizontal="center" vertical="center"/>
    </xf>
    <xf numFmtId="9" fontId="0" fillId="0" borderId="4" xfId="0" applyNumberFormat="1" applyBorder="1" applyAlignment="1" applyProtection="1">
      <alignment horizontal="center" vertical="center" wrapText="1"/>
      <protection locked="0"/>
    </xf>
    <xf numFmtId="9" fontId="0" fillId="0" borderId="4" xfId="1" applyFont="1" applyBorder="1" applyAlignment="1">
      <alignment horizontal="center" vertical="center"/>
    </xf>
    <xf numFmtId="0" fontId="0" fillId="0" borderId="4"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28" xfId="0"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28" xfId="0" applyBorder="1" applyAlignment="1" applyProtection="1">
      <alignment horizontal="center" vertical="center" textRotation="90"/>
      <protection locked="0"/>
    </xf>
    <xf numFmtId="0" fontId="0" fillId="0" borderId="76" xfId="0" applyBorder="1" applyAlignment="1" applyProtection="1">
      <alignment horizontal="center" vertical="center" wrapText="1"/>
      <protection locked="0"/>
    </xf>
    <xf numFmtId="0" fontId="0" fillId="3" borderId="4" xfId="0" applyFill="1" applyBorder="1" applyAlignment="1" applyProtection="1">
      <alignment horizontal="left" vertical="center" wrapText="1"/>
      <protection locked="0"/>
    </xf>
    <xf numFmtId="0" fontId="52" fillId="0" borderId="77" xfId="0" applyFont="1" applyBorder="1" applyAlignment="1" applyProtection="1">
      <alignment horizontal="center" vertical="center" wrapText="1"/>
      <protection hidden="1"/>
    </xf>
    <xf numFmtId="9" fontId="0" fillId="0" borderId="77" xfId="0" applyNumberFormat="1" applyBorder="1" applyAlignment="1" applyProtection="1">
      <alignment horizontal="center" vertical="center" wrapText="1"/>
      <protection hidden="1"/>
    </xf>
    <xf numFmtId="0" fontId="52" fillId="0" borderId="77" xfId="0" applyFont="1" applyBorder="1" applyAlignment="1" applyProtection="1">
      <alignment horizontal="center" vertical="center"/>
      <protection hidden="1"/>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78" xfId="0" applyBorder="1" applyAlignment="1" applyProtection="1">
      <alignment horizontal="center" vertical="center"/>
      <protection hidden="1"/>
    </xf>
    <xf numFmtId="0" fontId="0" fillId="0" borderId="79" xfId="0" applyBorder="1" applyAlignment="1" applyProtection="1">
      <alignment horizontal="center" vertical="center" textRotation="90"/>
      <protection locked="0"/>
    </xf>
    <xf numFmtId="9" fontId="0" fillId="0" borderId="80" xfId="0" applyNumberFormat="1" applyBorder="1" applyAlignment="1" applyProtection="1">
      <alignment horizontal="center" vertical="center"/>
      <protection hidden="1"/>
    </xf>
    <xf numFmtId="0" fontId="0" fillId="0" borderId="80" xfId="0" applyBorder="1" applyAlignment="1" applyProtection="1">
      <alignment horizontal="center" vertical="center" textRotation="90"/>
      <protection locked="0"/>
    </xf>
    <xf numFmtId="9" fontId="0" fillId="0" borderId="80" xfId="1" applyFont="1" applyBorder="1" applyAlignment="1">
      <alignment horizontal="center" vertical="center"/>
    </xf>
    <xf numFmtId="0" fontId="52" fillId="0" borderId="79" xfId="0" applyFont="1" applyBorder="1" applyAlignment="1" applyProtection="1">
      <alignment horizontal="center" vertical="center" textRotation="90" wrapText="1"/>
      <protection hidden="1"/>
    </xf>
    <xf numFmtId="0" fontId="52" fillId="0" borderId="79" xfId="0" applyFont="1" applyBorder="1" applyAlignment="1" applyProtection="1">
      <alignment horizontal="center" vertical="center" textRotation="90"/>
      <protection hidden="1"/>
    </xf>
    <xf numFmtId="0" fontId="0" fillId="0" borderId="81" xfId="0" applyBorder="1" applyAlignment="1" applyProtection="1">
      <alignment horizontal="center" vertical="center" textRotation="90"/>
      <protection locked="0"/>
    </xf>
    <xf numFmtId="0" fontId="52" fillId="0" borderId="29" xfId="0" applyFont="1" applyBorder="1" applyAlignment="1" applyProtection="1">
      <alignment horizontal="center" vertical="center" textRotation="90"/>
      <protection hidden="1"/>
    </xf>
    <xf numFmtId="9" fontId="0" fillId="0" borderId="4" xfId="1" applyFont="1" applyBorder="1" applyAlignment="1" applyProtection="1">
      <alignment horizontal="center" vertical="center"/>
      <protection hidden="1"/>
    </xf>
    <xf numFmtId="0" fontId="52" fillId="0" borderId="28" xfId="0" applyFont="1" applyBorder="1" applyAlignment="1" applyProtection="1">
      <alignment horizontal="center" vertical="center" textRotation="90" wrapText="1"/>
      <protection hidden="1"/>
    </xf>
    <xf numFmtId="0" fontId="52" fillId="0" borderId="29" xfId="0" applyFont="1" applyBorder="1" applyAlignment="1" applyProtection="1">
      <alignment horizontal="center" vertical="center" textRotation="90" wrapText="1"/>
      <protection hidden="1"/>
    </xf>
    <xf numFmtId="0" fontId="0" fillId="0" borderId="0" xfId="0" applyAlignment="1">
      <alignment horizontal="center" vertical="center" wrapText="1"/>
    </xf>
    <xf numFmtId="0" fontId="0" fillId="0" borderId="5" xfId="0" applyBorder="1" applyAlignment="1">
      <alignment horizontal="center" vertical="center"/>
    </xf>
    <xf numFmtId="0" fontId="15" fillId="0" borderId="2" xfId="0" applyFont="1" applyBorder="1" applyAlignment="1" applyProtection="1">
      <alignment horizontal="justify" vertical="center" wrapText="1"/>
      <protection locked="0"/>
    </xf>
    <xf numFmtId="0" fontId="15" fillId="0" borderId="7" xfId="0" applyFont="1" applyBorder="1" applyAlignment="1" applyProtection="1">
      <alignment horizontal="justify" vertical="center" wrapText="1"/>
      <protection locked="0"/>
    </xf>
    <xf numFmtId="0" fontId="15" fillId="0" borderId="7"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9" xfId="0" applyBorder="1" applyAlignment="1" applyProtection="1">
      <alignment vertical="center" wrapText="1"/>
      <protection locked="0"/>
    </xf>
    <xf numFmtId="0" fontId="0" fillId="0" borderId="29" xfId="0" applyBorder="1" applyAlignment="1">
      <alignment horizontal="center" vertical="center"/>
    </xf>
    <xf numFmtId="0" fontId="59" fillId="13" borderId="0" xfId="0" applyFont="1" applyFill="1" applyAlignment="1" applyProtection="1">
      <alignment horizontal="center" wrapText="1" readingOrder="1"/>
      <protection hidden="1"/>
    </xf>
    <xf numFmtId="0" fontId="0" fillId="0" borderId="2" xfId="0" applyBorder="1" applyAlignment="1">
      <alignment horizontal="center" vertical="center" wrapText="1"/>
    </xf>
    <xf numFmtId="0" fontId="0" fillId="0" borderId="2" xfId="0" applyBorder="1" applyAlignment="1">
      <alignment vertical="center" wrapText="1"/>
    </xf>
    <xf numFmtId="0" fontId="43" fillId="14" borderId="46" xfId="2" applyFont="1" applyFill="1" applyBorder="1" applyAlignment="1">
      <alignment horizontal="center" vertical="center" wrapText="1"/>
    </xf>
    <xf numFmtId="0" fontId="43" fillId="14" borderId="47" xfId="2" applyFont="1" applyFill="1" applyBorder="1" applyAlignment="1">
      <alignment horizontal="center" vertical="center" wrapText="1"/>
    </xf>
    <xf numFmtId="0" fontId="43" fillId="14" borderId="48" xfId="2" applyFont="1" applyFill="1" applyBorder="1" applyAlignment="1">
      <alignment horizontal="center" vertical="center" wrapText="1"/>
    </xf>
    <xf numFmtId="0" fontId="42" fillId="0" borderId="14" xfId="2" quotePrefix="1" applyFont="1" applyBorder="1" applyAlignment="1">
      <alignment horizontal="left" vertical="center" wrapText="1"/>
    </xf>
    <xf numFmtId="0" fontId="42" fillId="0" borderId="0" xfId="2" quotePrefix="1" applyFont="1" applyAlignment="1">
      <alignment horizontal="left" vertical="center" wrapText="1"/>
    </xf>
    <xf numFmtId="0" fontId="42" fillId="0" borderId="15" xfId="2" quotePrefix="1" applyFont="1" applyBorder="1" applyAlignment="1">
      <alignment horizontal="left" vertical="center" wrapText="1"/>
    </xf>
    <xf numFmtId="0" fontId="42" fillId="0" borderId="66" xfId="2" quotePrefix="1" applyFont="1" applyBorder="1" applyAlignment="1">
      <alignment horizontal="left" vertical="center" wrapText="1"/>
    </xf>
    <xf numFmtId="0" fontId="42" fillId="0" borderId="67" xfId="2" quotePrefix="1" applyFont="1" applyBorder="1" applyAlignment="1">
      <alignment horizontal="left" vertical="center" wrapText="1"/>
    </xf>
    <xf numFmtId="0" fontId="42" fillId="0" borderId="68" xfId="2" quotePrefix="1" applyFont="1" applyBorder="1" applyAlignment="1">
      <alignment horizontal="left" vertical="center" wrapText="1"/>
    </xf>
    <xf numFmtId="0" fontId="44" fillId="3" borderId="49" xfId="2" quotePrefix="1" applyFont="1" applyFill="1" applyBorder="1" applyAlignment="1">
      <alignment horizontal="left" vertical="top" wrapText="1"/>
    </xf>
    <xf numFmtId="0" fontId="45" fillId="3" borderId="50" xfId="2" quotePrefix="1" applyFont="1" applyFill="1" applyBorder="1" applyAlignment="1">
      <alignment horizontal="left" vertical="top" wrapText="1"/>
    </xf>
    <xf numFmtId="0" fontId="45" fillId="3" borderId="51" xfId="2" quotePrefix="1" applyFont="1" applyFill="1" applyBorder="1" applyAlignment="1">
      <alignment horizontal="left" vertical="top" wrapText="1"/>
    </xf>
    <xf numFmtId="0" fontId="42" fillId="0" borderId="14" xfId="2" quotePrefix="1" applyFont="1" applyBorder="1" applyAlignment="1">
      <alignment horizontal="left" vertical="top" wrapText="1"/>
    </xf>
    <xf numFmtId="0" fontId="42" fillId="0" borderId="0" xfId="2" quotePrefix="1" applyFont="1" applyAlignment="1">
      <alignment horizontal="left" vertical="top" wrapText="1"/>
    </xf>
    <xf numFmtId="0" fontId="42" fillId="0" borderId="15" xfId="2" quotePrefix="1" applyFont="1" applyBorder="1" applyAlignment="1">
      <alignment horizontal="left" vertical="top" wrapText="1"/>
    </xf>
    <xf numFmtId="0" fontId="47" fillId="14" borderId="52" xfId="3" applyFont="1" applyFill="1" applyBorder="1" applyAlignment="1">
      <alignment horizontal="center" vertical="center" wrapText="1"/>
    </xf>
    <xf numFmtId="0" fontId="47" fillId="14" borderId="53" xfId="3" applyFont="1" applyFill="1" applyBorder="1" applyAlignment="1">
      <alignment horizontal="center" vertical="center" wrapText="1"/>
    </xf>
    <xf numFmtId="0" fontId="47" fillId="14" borderId="54" xfId="2" applyFont="1" applyFill="1" applyBorder="1" applyAlignment="1">
      <alignment horizontal="center" vertical="center"/>
    </xf>
    <xf numFmtId="0" fontId="47"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47" fillId="3" borderId="56" xfId="3" applyFont="1" applyFill="1" applyBorder="1" applyAlignment="1">
      <alignment horizontal="left" vertical="top" wrapText="1" readingOrder="1"/>
    </xf>
    <xf numFmtId="0" fontId="47" fillId="3" borderId="57" xfId="3" applyFont="1" applyFill="1" applyBorder="1" applyAlignment="1">
      <alignment horizontal="left" vertical="top" wrapText="1" readingOrder="1"/>
    </xf>
    <xf numFmtId="0" fontId="48" fillId="3" borderId="58" xfId="2" applyFont="1" applyFill="1" applyBorder="1" applyAlignment="1">
      <alignment horizontal="justify" vertical="center" wrapText="1"/>
    </xf>
    <xf numFmtId="0" fontId="48" fillId="3" borderId="59" xfId="2" applyFont="1" applyFill="1" applyBorder="1" applyAlignment="1">
      <alignment horizontal="justify" vertical="center" wrapText="1"/>
    </xf>
    <xf numFmtId="0" fontId="47" fillId="3" borderId="60" xfId="0" applyFont="1" applyFill="1" applyBorder="1" applyAlignment="1">
      <alignment horizontal="left" vertical="center" wrapText="1"/>
    </xf>
    <xf numFmtId="0" fontId="47" fillId="3" borderId="61" xfId="0" applyFont="1" applyFill="1" applyBorder="1" applyAlignment="1">
      <alignment horizontal="left" vertical="center" wrapText="1"/>
    </xf>
    <xf numFmtId="0" fontId="48" fillId="3" borderId="62" xfId="2" applyFont="1" applyFill="1" applyBorder="1" applyAlignment="1">
      <alignment horizontal="justify" vertical="center" wrapText="1"/>
    </xf>
    <xf numFmtId="0" fontId="48" fillId="3" borderId="63" xfId="2" applyFont="1" applyFill="1" applyBorder="1" applyAlignment="1">
      <alignment horizontal="justify" vertical="center" wrapText="1"/>
    </xf>
    <xf numFmtId="0" fontId="42" fillId="3" borderId="14" xfId="2" applyFont="1" applyFill="1" applyBorder="1" applyAlignment="1">
      <alignment horizontal="left" vertical="top" wrapText="1"/>
    </xf>
    <xf numFmtId="0" fontId="42" fillId="3" borderId="0" xfId="2" applyFont="1" applyFill="1" applyAlignment="1">
      <alignment horizontal="left" vertical="top" wrapText="1"/>
    </xf>
    <xf numFmtId="0" fontId="42" fillId="3" borderId="15" xfId="2" applyFont="1" applyFill="1" applyBorder="1" applyAlignment="1">
      <alignment horizontal="left" vertical="top" wrapText="1"/>
    </xf>
    <xf numFmtId="0" fontId="47" fillId="3" borderId="69" xfId="0" applyFont="1" applyFill="1" applyBorder="1" applyAlignment="1">
      <alignment horizontal="left" vertical="center" wrapText="1"/>
    </xf>
    <xf numFmtId="0" fontId="47" fillId="3" borderId="70" xfId="0" applyFont="1" applyFill="1" applyBorder="1" applyAlignment="1">
      <alignment horizontal="left" vertical="center" wrapText="1"/>
    </xf>
    <xf numFmtId="0" fontId="47" fillId="3" borderId="71" xfId="0" applyFont="1" applyFill="1" applyBorder="1" applyAlignment="1">
      <alignment horizontal="left" vertical="center" wrapText="1"/>
    </xf>
    <xf numFmtId="0" fontId="47" fillId="3" borderId="72" xfId="0" applyFont="1" applyFill="1" applyBorder="1" applyAlignment="1">
      <alignment horizontal="left" vertical="center" wrapText="1"/>
    </xf>
    <xf numFmtId="0" fontId="48" fillId="3" borderId="64" xfId="0" applyFont="1" applyFill="1" applyBorder="1" applyAlignment="1">
      <alignment horizontal="justify" vertical="center" wrapText="1"/>
    </xf>
    <xf numFmtId="0" fontId="48" fillId="3" borderId="65" xfId="0" applyFont="1" applyFill="1" applyBorder="1" applyAlignment="1">
      <alignment horizontal="justify" vertical="center" wrapText="1"/>
    </xf>
    <xf numFmtId="0" fontId="0" fillId="0" borderId="4" xfId="0" applyBorder="1" applyAlignment="1" applyProtection="1">
      <alignment horizontal="center" vertical="center" textRotation="90"/>
      <protection locked="0"/>
    </xf>
    <xf numFmtId="0" fontId="0" fillId="0" borderId="5" xfId="0" applyBorder="1" applyAlignment="1" applyProtection="1">
      <alignment horizontal="center" vertical="center" textRotation="90"/>
      <protection locked="0"/>
    </xf>
    <xf numFmtId="14" fontId="0" fillId="0" borderId="8" xfId="0" applyNumberFormat="1" applyBorder="1" applyAlignment="1" applyProtection="1">
      <alignment horizontal="center" vertical="center" wrapText="1"/>
      <protection locked="0"/>
    </xf>
    <xf numFmtId="14" fontId="0" fillId="0" borderId="5" xfId="0" applyNumberFormat="1" applyBorder="1" applyAlignment="1" applyProtection="1">
      <alignment horizontal="center" vertical="center" wrapText="1"/>
      <protection locked="0"/>
    </xf>
    <xf numFmtId="14" fontId="0" fillId="0" borderId="5" xfId="0" applyNumberFormat="1" applyBorder="1" applyAlignment="1" applyProtection="1">
      <alignment horizontal="center" vertical="center"/>
      <protection locked="0"/>
    </xf>
    <xf numFmtId="0" fontId="15" fillId="0" borderId="8"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14" fontId="0" fillId="0" borderId="4"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8" xfId="0" applyBorder="1" applyAlignment="1" applyProtection="1">
      <alignment horizontal="center" vertical="center" textRotation="90"/>
      <protection locked="0"/>
    </xf>
    <xf numFmtId="0" fontId="0" fillId="0" borderId="73" xfId="0" applyBorder="1" applyAlignment="1" applyProtection="1">
      <alignment horizontal="center" vertical="center" textRotation="90"/>
      <protection locked="0"/>
    </xf>
    <xf numFmtId="0" fontId="0" fillId="0" borderId="75" xfId="0" applyBorder="1" applyAlignment="1" applyProtection="1">
      <alignment horizontal="center" vertical="center" textRotation="90"/>
      <protection locked="0"/>
    </xf>
    <xf numFmtId="9" fontId="0" fillId="0" borderId="29" xfId="0" applyNumberFormat="1" applyBorder="1" applyAlignment="1" applyProtection="1">
      <alignment horizontal="center" vertical="center"/>
      <protection hidden="1"/>
    </xf>
    <xf numFmtId="9" fontId="0" fillId="0" borderId="30" xfId="0" applyNumberFormat="1" applyBorder="1" applyAlignment="1" applyProtection="1">
      <alignment horizontal="center" vertical="center"/>
      <protection hidden="1"/>
    </xf>
    <xf numFmtId="0" fontId="0" fillId="0" borderId="29" xfId="0" applyBorder="1" applyAlignment="1" applyProtection="1">
      <alignment horizontal="center" vertical="center" textRotation="90"/>
      <protection locked="0"/>
    </xf>
    <xf numFmtId="0" fontId="0" fillId="0" borderId="30" xfId="0" applyBorder="1" applyAlignment="1" applyProtection="1">
      <alignment horizontal="center" vertical="center" textRotation="90"/>
      <protection locked="0"/>
    </xf>
    <xf numFmtId="9" fontId="0" fillId="0" borderId="29" xfId="1" applyFont="1" applyBorder="1" applyAlignment="1">
      <alignment horizontal="center" vertical="center"/>
    </xf>
    <xf numFmtId="9" fontId="0" fillId="0" borderId="30" xfId="1" applyFont="1" applyBorder="1" applyAlignment="1">
      <alignment horizontal="center" vertical="center"/>
    </xf>
    <xf numFmtId="0" fontId="52" fillId="0" borderId="4" xfId="0" applyFont="1" applyBorder="1" applyAlignment="1" applyProtection="1">
      <alignment horizontal="center" vertical="center" textRotation="90" wrapText="1"/>
      <protection hidden="1"/>
    </xf>
    <xf numFmtId="0" fontId="52" fillId="0" borderId="5" xfId="0" applyFont="1" applyBorder="1" applyAlignment="1" applyProtection="1">
      <alignment horizontal="center" vertical="center" textRotation="90" wrapText="1"/>
      <protection hidden="1"/>
    </xf>
    <xf numFmtId="9" fontId="0" fillId="0" borderId="4" xfId="0" applyNumberFormat="1" applyBorder="1" applyAlignment="1" applyProtection="1">
      <alignment horizontal="center" vertical="center" wrapText="1"/>
      <protection hidden="1"/>
    </xf>
    <xf numFmtId="9" fontId="0" fillId="0" borderId="5" xfId="0" applyNumberFormat="1" applyBorder="1" applyAlignment="1" applyProtection="1">
      <alignment horizontal="center" vertical="center" wrapText="1"/>
      <protection hidden="1"/>
    </xf>
    <xf numFmtId="0" fontId="52" fillId="0" borderId="4"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0" fillId="0" borderId="8" xfId="0" applyNumberFormat="1" applyBorder="1" applyAlignment="1" applyProtection="1">
      <alignment horizontal="center" vertical="center" wrapText="1"/>
      <protection hidden="1"/>
    </xf>
    <xf numFmtId="0" fontId="52" fillId="0" borderId="8" xfId="0" applyFont="1" applyBorder="1" applyAlignment="1" applyProtection="1">
      <alignment horizontal="center" vertical="center"/>
      <protection hidden="1"/>
    </xf>
    <xf numFmtId="0" fontId="0" fillId="0" borderId="2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0" xfId="0" applyAlignment="1" applyProtection="1">
      <alignment vertical="center" wrapText="1"/>
      <protection locked="0"/>
    </xf>
    <xf numFmtId="9" fontId="0" fillId="0" borderId="4"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9" fontId="0" fillId="0" borderId="5" xfId="0" applyNumberFormat="1" applyBorder="1" applyAlignment="1" applyProtection="1">
      <alignment horizontal="center" vertical="center" wrapText="1"/>
      <protection locked="0"/>
    </xf>
    <xf numFmtId="0" fontId="0" fillId="0" borderId="29" xfId="0" applyBorder="1" applyAlignment="1">
      <alignment horizontal="center" vertical="center"/>
    </xf>
    <xf numFmtId="0" fontId="0" fillId="0" borderId="0" xfId="0" applyAlignment="1">
      <alignment horizontal="center" vertical="center"/>
    </xf>
    <xf numFmtId="0" fontId="51" fillId="18" borderId="2" xfId="0" applyFont="1" applyFill="1" applyBorder="1" applyAlignment="1">
      <alignment horizontal="center" vertical="center" wrapText="1"/>
    </xf>
    <xf numFmtId="0" fontId="54" fillId="16" borderId="9" xfId="0" applyFont="1" applyFill="1" applyBorder="1" applyAlignment="1">
      <alignment horizontal="center" vertical="center"/>
    </xf>
    <xf numFmtId="0" fontId="54" fillId="16" borderId="0" xfId="0" applyFont="1" applyFill="1" applyAlignment="1">
      <alignment horizontal="center" vertical="center"/>
    </xf>
    <xf numFmtId="0" fontId="51" fillId="18" borderId="6" xfId="0" applyFont="1" applyFill="1" applyBorder="1" applyAlignment="1">
      <alignment horizontal="center" vertical="center"/>
    </xf>
    <xf numFmtId="0" fontId="51" fillId="18" borderId="10" xfId="0" applyFont="1" applyFill="1" applyBorder="1" applyAlignment="1">
      <alignment horizontal="center" vertical="center"/>
    </xf>
    <xf numFmtId="0" fontId="51" fillId="18" borderId="4" xfId="0" applyFont="1" applyFill="1" applyBorder="1" applyAlignment="1">
      <alignment horizontal="center" vertical="center" wrapText="1"/>
    </xf>
    <xf numFmtId="0" fontId="51" fillId="18" borderId="5" xfId="0" applyFont="1" applyFill="1" applyBorder="1" applyAlignment="1">
      <alignment horizontal="center" vertical="center" wrapText="1"/>
    </xf>
    <xf numFmtId="0" fontId="51" fillId="17" borderId="2" xfId="0" applyFont="1" applyFill="1" applyBorder="1" applyAlignment="1">
      <alignment horizontal="center" vertical="center" textRotation="90" wrapText="1"/>
    </xf>
    <xf numFmtId="0" fontId="51" fillId="17" borderId="8" xfId="0" applyFont="1" applyFill="1" applyBorder="1" applyAlignment="1">
      <alignment horizontal="center" vertical="center" wrapText="1"/>
    </xf>
    <xf numFmtId="0" fontId="51" fillId="17" borderId="5" xfId="0" applyFont="1" applyFill="1" applyBorder="1" applyAlignment="1">
      <alignment horizontal="center" vertical="center" wrapText="1"/>
    </xf>
    <xf numFmtId="0" fontId="51" fillId="18" borderId="6" xfId="0" applyFont="1" applyFill="1" applyBorder="1" applyAlignment="1">
      <alignment horizontal="center" vertical="center" wrapText="1"/>
    </xf>
    <xf numFmtId="0" fontId="51" fillId="18" borderId="10" xfId="0" applyFont="1" applyFill="1" applyBorder="1" applyAlignment="1">
      <alignment horizontal="center" vertical="center" wrapText="1"/>
    </xf>
    <xf numFmtId="0" fontId="51" fillId="18" borderId="7" xfId="0" applyFont="1" applyFill="1" applyBorder="1" applyAlignment="1">
      <alignment horizontal="center" vertical="center" wrapText="1"/>
    </xf>
    <xf numFmtId="0" fontId="51" fillId="17" borderId="4" xfId="0" applyFont="1" applyFill="1" applyBorder="1" applyAlignment="1">
      <alignment horizontal="center" vertical="center" wrapText="1"/>
    </xf>
    <xf numFmtId="0" fontId="51" fillId="18" borderId="4" xfId="0" applyFont="1" applyFill="1" applyBorder="1" applyAlignment="1">
      <alignment horizontal="center" vertical="center" textRotation="90"/>
    </xf>
    <xf numFmtId="0" fontId="51" fillId="18" borderId="5" xfId="0" applyFont="1" applyFill="1" applyBorder="1" applyAlignment="1">
      <alignment horizontal="center" vertical="center" textRotation="90"/>
    </xf>
    <xf numFmtId="0" fontId="51" fillId="18" borderId="5" xfId="0" applyFont="1" applyFill="1" applyBorder="1" applyAlignment="1">
      <alignment horizontal="center" vertical="center"/>
    </xf>
    <xf numFmtId="0" fontId="51" fillId="18" borderId="2" xfId="0" applyFont="1" applyFill="1" applyBorder="1" applyAlignment="1">
      <alignment horizontal="center" vertical="center"/>
    </xf>
    <xf numFmtId="0" fontId="51" fillId="17" borderId="4" xfId="0" applyFont="1" applyFill="1" applyBorder="1" applyAlignment="1">
      <alignment horizontal="center" vertical="center" textRotation="90" wrapText="1"/>
    </xf>
    <xf numFmtId="0" fontId="51" fillId="17" borderId="5" xfId="0" applyFont="1" applyFill="1" applyBorder="1" applyAlignment="1">
      <alignment horizontal="center" vertical="center" textRotation="90" wrapText="1"/>
    </xf>
    <xf numFmtId="0" fontId="51" fillId="18" borderId="4" xfId="0" applyFont="1" applyFill="1" applyBorder="1" applyAlignment="1">
      <alignment horizontal="center" vertical="center" textRotation="90" wrapText="1"/>
    </xf>
    <xf numFmtId="0" fontId="51" fillId="18" borderId="5" xfId="0" applyFont="1" applyFill="1" applyBorder="1" applyAlignment="1">
      <alignment horizontal="center" vertical="center" textRotation="90" wrapText="1"/>
    </xf>
    <xf numFmtId="9" fontId="51" fillId="17" borderId="2" xfId="0" applyNumberFormat="1" applyFont="1" applyFill="1" applyBorder="1" applyAlignment="1">
      <alignment horizontal="center" vertical="center" textRotation="90" wrapText="1"/>
    </xf>
    <xf numFmtId="0" fontId="51" fillId="17" borderId="9"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9" xfId="0" applyFont="1" applyFill="1" applyBorder="1" applyAlignment="1">
      <alignment horizontal="center" vertical="center" wrapText="1"/>
    </xf>
    <xf numFmtId="0" fontId="51" fillId="17" borderId="2" xfId="0" applyFont="1" applyFill="1" applyBorder="1" applyAlignment="1">
      <alignment horizontal="center" vertical="center" wrapText="1"/>
    </xf>
    <xf numFmtId="0" fontId="7" fillId="3" borderId="0" xfId="0" applyFont="1" applyFill="1" applyAlignment="1" applyProtection="1">
      <alignment horizontal="left" vertical="center"/>
      <protection locked="0"/>
    </xf>
    <xf numFmtId="0" fontId="1" fillId="3" borderId="0" xfId="0" applyFont="1" applyFill="1" applyAlignment="1">
      <alignment horizontal="left" vertical="center"/>
    </xf>
    <xf numFmtId="0" fontId="51" fillId="18" borderId="7" xfId="0" applyFont="1" applyFill="1" applyBorder="1" applyAlignment="1">
      <alignment horizontal="center" vertical="center"/>
    </xf>
    <xf numFmtId="0" fontId="51" fillId="17" borderId="6" xfId="0" applyFont="1" applyFill="1" applyBorder="1" applyAlignment="1">
      <alignment horizontal="center" vertical="center"/>
    </xf>
    <xf numFmtId="0" fontId="51" fillId="17" borderId="10" xfId="0" applyFont="1" applyFill="1" applyBorder="1" applyAlignment="1">
      <alignment horizontal="center" vertical="center"/>
    </xf>
    <xf numFmtId="0" fontId="51" fillId="17" borderId="7" xfId="0" applyFont="1" applyFill="1"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5" xfId="0" applyBorder="1" applyAlignment="1">
      <alignment horizontal="center" vertical="center" wrapText="1"/>
    </xf>
    <xf numFmtId="0" fontId="0" fillId="0" borderId="74" xfId="0" applyBorder="1" applyAlignment="1">
      <alignment horizontal="center" vertical="center"/>
    </xf>
    <xf numFmtId="0" fontId="0" fillId="0" borderId="4"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9" fontId="0" fillId="0" borderId="4" xfId="0" applyNumberFormat="1" applyBorder="1" applyAlignment="1" applyProtection="1">
      <alignment horizontal="center" vertical="center"/>
      <protection hidden="1"/>
    </xf>
    <xf numFmtId="9" fontId="0" fillId="0" borderId="8" xfId="0" applyNumberFormat="1" applyBorder="1" applyAlignment="1" applyProtection="1">
      <alignment horizontal="center" vertical="center"/>
      <protection hidden="1"/>
    </xf>
    <xf numFmtId="9" fontId="0" fillId="0" borderId="5" xfId="0" applyNumberFormat="1" applyBorder="1" applyAlignment="1" applyProtection="1">
      <alignment horizontal="center" vertical="center"/>
      <protection hidden="1"/>
    </xf>
    <xf numFmtId="9" fontId="0" fillId="0" borderId="4" xfId="1" applyFont="1" applyBorder="1" applyAlignment="1">
      <alignment horizontal="center" vertical="center"/>
    </xf>
    <xf numFmtId="9" fontId="0" fillId="0" borderId="5" xfId="1" applyFont="1" applyBorder="1" applyAlignment="1">
      <alignment horizontal="center" vertical="center"/>
    </xf>
    <xf numFmtId="9" fontId="0" fillId="0" borderId="8" xfId="1" applyFont="1" applyBorder="1" applyAlignment="1">
      <alignment horizontal="center" vertical="center"/>
    </xf>
    <xf numFmtId="0" fontId="52" fillId="0" borderId="8" xfId="0" applyFont="1" applyBorder="1" applyAlignment="1" applyProtection="1">
      <alignment horizontal="center" vertical="center" textRotation="90" wrapText="1"/>
      <protection hidden="1"/>
    </xf>
    <xf numFmtId="0" fontId="52" fillId="0" borderId="4" xfId="0" applyFont="1" applyBorder="1" applyAlignment="1" applyProtection="1">
      <alignment horizontal="center" vertical="center" textRotation="90"/>
      <protection hidden="1"/>
    </xf>
    <xf numFmtId="0" fontId="52" fillId="0" borderId="5" xfId="0" applyFont="1" applyBorder="1" applyAlignment="1" applyProtection="1">
      <alignment horizontal="center" vertical="center" textRotation="90"/>
      <protection hidden="1"/>
    </xf>
    <xf numFmtId="0" fontId="52" fillId="0" borderId="8" xfId="0" applyFont="1" applyBorder="1" applyAlignment="1" applyProtection="1">
      <alignment horizontal="center" vertical="center" textRotation="90"/>
      <protection hidden="1"/>
    </xf>
    <xf numFmtId="0" fontId="0" fillId="0" borderId="28" xfId="0" applyBorder="1" applyAlignment="1" applyProtection="1">
      <alignment horizontal="center" vertical="center" textRotation="90"/>
      <protection locked="0"/>
    </xf>
    <xf numFmtId="0" fontId="0" fillId="0" borderId="9" xfId="0" applyBorder="1" applyAlignment="1" applyProtection="1">
      <alignment horizontal="center" vertical="center" textRotation="90"/>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22" fillId="0" borderId="0" xfId="0" applyFont="1" applyAlignment="1">
      <alignment horizontal="center" vertical="center" wrapText="1"/>
    </xf>
    <xf numFmtId="0" fontId="56" fillId="5" borderId="14" xfId="0" applyFont="1" applyFill="1" applyBorder="1" applyAlignment="1" applyProtection="1">
      <alignment horizontal="center" wrapText="1" readingOrder="1"/>
      <protection hidden="1"/>
    </xf>
    <xf numFmtId="0" fontId="56" fillId="5" borderId="0" xfId="0" applyFont="1" applyFill="1" applyAlignment="1" applyProtection="1">
      <alignment horizontal="center" wrapText="1" readingOrder="1"/>
      <protection hidden="1"/>
    </xf>
    <xf numFmtId="0" fontId="56" fillId="5" borderId="15" xfId="0" applyFont="1" applyFill="1" applyBorder="1" applyAlignment="1" applyProtection="1">
      <alignment horizontal="center" wrapText="1" readingOrder="1"/>
      <protection hidden="1"/>
    </xf>
    <xf numFmtId="0" fontId="56" fillId="5" borderId="16" xfId="0" applyFont="1" applyFill="1" applyBorder="1" applyAlignment="1" applyProtection="1">
      <alignment horizontal="center" wrapText="1" readingOrder="1"/>
      <protection hidden="1"/>
    </xf>
    <xf numFmtId="0" fontId="56" fillId="5" borderId="18" xfId="0" applyFont="1" applyFill="1" applyBorder="1" applyAlignment="1" applyProtection="1">
      <alignment horizontal="center" wrapText="1" readingOrder="1"/>
      <protection hidden="1"/>
    </xf>
    <xf numFmtId="0" fontId="56" fillId="5" borderId="12" xfId="0" applyFont="1" applyFill="1" applyBorder="1" applyAlignment="1" applyProtection="1">
      <alignment horizontal="center" wrapText="1" readingOrder="1"/>
      <protection hidden="1"/>
    </xf>
    <xf numFmtId="0" fontId="56" fillId="5" borderId="19" xfId="0" applyFont="1" applyFill="1" applyBorder="1" applyAlignment="1" applyProtection="1">
      <alignment horizontal="center" wrapText="1" readingOrder="1"/>
      <protection hidden="1"/>
    </xf>
    <xf numFmtId="0" fontId="56"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56"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56" fillId="13" borderId="14" xfId="0" applyFont="1" applyFill="1" applyBorder="1" applyAlignment="1" applyProtection="1">
      <alignment horizontal="center" wrapText="1" readingOrder="1"/>
      <protection hidden="1"/>
    </xf>
    <xf numFmtId="0" fontId="56" fillId="13" borderId="0" xfId="0" applyFont="1" applyFill="1" applyAlignment="1" applyProtection="1">
      <alignment horizontal="center" wrapText="1" readingOrder="1"/>
      <protection hidden="1"/>
    </xf>
    <xf numFmtId="0" fontId="56" fillId="13" borderId="15" xfId="0" applyFont="1" applyFill="1" applyBorder="1" applyAlignment="1" applyProtection="1">
      <alignment horizontal="center" wrapText="1" readingOrder="1"/>
      <protection hidden="1"/>
    </xf>
    <xf numFmtId="0" fontId="56" fillId="13" borderId="16" xfId="0" applyFont="1" applyFill="1" applyBorder="1" applyAlignment="1" applyProtection="1">
      <alignment horizontal="center" wrapText="1" readingOrder="1"/>
      <protection hidden="1"/>
    </xf>
    <xf numFmtId="0" fontId="56" fillId="13" borderId="18" xfId="0" applyFont="1" applyFill="1" applyBorder="1" applyAlignment="1" applyProtection="1">
      <alignment horizontal="center" wrapText="1" readingOrder="1"/>
      <protection hidden="1"/>
    </xf>
    <xf numFmtId="0" fontId="56" fillId="13" borderId="19" xfId="0" applyFont="1" applyFill="1" applyBorder="1" applyAlignment="1" applyProtection="1">
      <alignment horizontal="center" wrapText="1" readingOrder="1"/>
      <protection hidden="1"/>
    </xf>
    <xf numFmtId="0" fontId="56" fillId="13" borderId="13" xfId="0" applyFont="1" applyFill="1" applyBorder="1" applyAlignment="1" applyProtection="1">
      <alignment horizontal="center" wrapText="1" readingOrder="1"/>
      <protection hidden="1"/>
    </xf>
    <xf numFmtId="0" fontId="56" fillId="13" borderId="17" xfId="0" applyFont="1" applyFill="1" applyBorder="1" applyAlignment="1" applyProtection="1">
      <alignment horizontal="center" wrapText="1" readingOrder="1"/>
      <protection hidden="1"/>
    </xf>
    <xf numFmtId="0" fontId="56" fillId="13" borderId="12"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56" fillId="12" borderId="14" xfId="0" applyFont="1" applyFill="1" applyBorder="1" applyAlignment="1" applyProtection="1">
      <alignment horizontal="center" wrapText="1" readingOrder="1"/>
      <protection hidden="1"/>
    </xf>
    <xf numFmtId="0" fontId="56" fillId="12" borderId="0" xfId="0" applyFont="1" applyFill="1" applyAlignment="1" applyProtection="1">
      <alignment horizontal="center" wrapText="1" readingOrder="1"/>
      <protection hidden="1"/>
    </xf>
    <xf numFmtId="0" fontId="56" fillId="12" borderId="15" xfId="0" applyFont="1" applyFill="1" applyBorder="1" applyAlignment="1" applyProtection="1">
      <alignment horizontal="center" wrapText="1" readingOrder="1"/>
      <protection hidden="1"/>
    </xf>
    <xf numFmtId="0" fontId="56" fillId="12" borderId="16" xfId="0" applyFont="1" applyFill="1" applyBorder="1" applyAlignment="1" applyProtection="1">
      <alignment horizontal="center" wrapText="1" readingOrder="1"/>
      <protection hidden="1"/>
    </xf>
    <xf numFmtId="0" fontId="56" fillId="12" borderId="18" xfId="0" applyFont="1" applyFill="1" applyBorder="1" applyAlignment="1" applyProtection="1">
      <alignment horizontal="center" wrapText="1" readingOrder="1"/>
      <protection hidden="1"/>
    </xf>
    <xf numFmtId="0" fontId="56" fillId="12" borderId="17" xfId="0" applyFont="1" applyFill="1" applyBorder="1" applyAlignment="1" applyProtection="1">
      <alignment horizontal="center" wrapText="1" readingOrder="1"/>
      <protection hidden="1"/>
    </xf>
    <xf numFmtId="0" fontId="56" fillId="12" borderId="12" xfId="0" applyFont="1" applyFill="1" applyBorder="1" applyAlignment="1" applyProtection="1">
      <alignment horizontal="center" wrapText="1" readingOrder="1"/>
      <protection hidden="1"/>
    </xf>
    <xf numFmtId="0" fontId="56" fillId="12" borderId="19" xfId="0" applyFont="1" applyFill="1" applyBorder="1" applyAlignment="1" applyProtection="1">
      <alignment horizontal="center" wrapText="1" readingOrder="1"/>
      <protection hidden="1"/>
    </xf>
    <xf numFmtId="0" fontId="56" fillId="12" borderId="13" xfId="0" applyFont="1" applyFill="1" applyBorder="1" applyAlignment="1" applyProtection="1">
      <alignment horizontal="center" wrapText="1" readingOrder="1"/>
      <protection hidden="1"/>
    </xf>
    <xf numFmtId="0" fontId="56" fillId="11" borderId="14" xfId="0" applyFont="1" applyFill="1" applyBorder="1" applyAlignment="1" applyProtection="1">
      <alignment horizontal="center" vertical="center" wrapText="1" readingOrder="1"/>
      <protection hidden="1"/>
    </xf>
    <xf numFmtId="0" fontId="56" fillId="11" borderId="0" xfId="0" applyFont="1" applyFill="1" applyAlignment="1" applyProtection="1">
      <alignment horizontal="center" vertical="center" wrapText="1" readingOrder="1"/>
      <protection hidden="1"/>
    </xf>
    <xf numFmtId="0" fontId="56" fillId="11" borderId="15" xfId="0" applyFont="1" applyFill="1" applyBorder="1" applyAlignment="1" applyProtection="1">
      <alignment horizontal="center" vertical="center" wrapText="1" readingOrder="1"/>
      <protection hidden="1"/>
    </xf>
    <xf numFmtId="0" fontId="56" fillId="11" borderId="16" xfId="0" applyFont="1" applyFill="1" applyBorder="1" applyAlignment="1" applyProtection="1">
      <alignment horizontal="center" vertical="center" wrapText="1" readingOrder="1"/>
      <protection hidden="1"/>
    </xf>
    <xf numFmtId="0" fontId="56" fillId="11" borderId="18" xfId="0" applyFont="1" applyFill="1" applyBorder="1" applyAlignment="1" applyProtection="1">
      <alignment horizontal="center" vertical="center" wrapText="1" readingOrder="1"/>
      <protection hidden="1"/>
    </xf>
    <xf numFmtId="0" fontId="56" fillId="11" borderId="17" xfId="0" applyFont="1" applyFill="1" applyBorder="1" applyAlignment="1" applyProtection="1">
      <alignment horizontal="center" vertical="center" wrapText="1" readingOrder="1"/>
      <protection hidden="1"/>
    </xf>
    <xf numFmtId="0" fontId="56" fillId="11" borderId="12" xfId="0" applyFont="1" applyFill="1" applyBorder="1" applyAlignment="1" applyProtection="1">
      <alignment horizontal="center" vertical="center" wrapText="1" readingOrder="1"/>
      <protection hidden="1"/>
    </xf>
    <xf numFmtId="0" fontId="56" fillId="11" borderId="19" xfId="0" applyFont="1" applyFill="1" applyBorder="1" applyAlignment="1" applyProtection="1">
      <alignment horizontal="center" vertical="center" wrapText="1" readingOrder="1"/>
      <protection hidden="1"/>
    </xf>
    <xf numFmtId="0" fontId="56" fillId="11" borderId="13"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57" fillId="0" borderId="12" xfId="0" applyFont="1" applyBorder="1" applyAlignment="1">
      <alignment horizontal="center" vertical="center" wrapText="1"/>
    </xf>
    <xf numFmtId="0" fontId="57" fillId="0" borderId="19" xfId="0" applyFont="1" applyBorder="1" applyAlignment="1">
      <alignment horizontal="center" vertical="center"/>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57" fillId="0" borderId="0" xfId="0" applyFont="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18" xfId="0" applyFont="1" applyBorder="1" applyAlignment="1">
      <alignment horizontal="center" vertical="center"/>
    </xf>
    <xf numFmtId="0" fontId="57" fillId="0" borderId="17" xfId="0" applyFont="1" applyBorder="1" applyAlignment="1">
      <alignment horizontal="center" vertical="center"/>
    </xf>
    <xf numFmtId="0" fontId="57" fillId="0" borderId="14" xfId="0" applyFont="1" applyBorder="1" applyAlignment="1">
      <alignment horizontal="center" vertical="center" wrapText="1"/>
    </xf>
    <xf numFmtId="0" fontId="57" fillId="0" borderId="19" xfId="0" applyFont="1" applyBorder="1" applyAlignment="1">
      <alignment horizontal="center" vertical="center" wrapText="1"/>
    </xf>
    <xf numFmtId="0" fontId="19" fillId="11" borderId="20" xfId="0" applyFont="1" applyFill="1" applyBorder="1" applyAlignment="1">
      <alignment horizontal="center" vertical="center" wrapText="1" readingOrder="1"/>
    </xf>
    <xf numFmtId="0" fontId="19" fillId="11" borderId="21" xfId="0" applyFont="1" applyFill="1" applyBorder="1" applyAlignment="1">
      <alignment horizontal="center" vertical="center" wrapText="1" readingOrder="1"/>
    </xf>
    <xf numFmtId="0" fontId="19" fillId="11" borderId="22" xfId="0" applyFont="1" applyFill="1" applyBorder="1" applyAlignment="1">
      <alignment horizontal="center" vertical="center" wrapText="1" readingOrder="1"/>
    </xf>
    <xf numFmtId="0" fontId="19" fillId="11" borderId="2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24" xfId="0" applyFont="1" applyFill="1" applyBorder="1" applyAlignment="1">
      <alignment horizontal="center" vertical="center" wrapText="1" readingOrder="1"/>
    </xf>
    <xf numFmtId="0" fontId="19" fillId="11" borderId="25" xfId="0" applyFont="1" applyFill="1" applyBorder="1" applyAlignment="1">
      <alignment horizontal="center" vertical="center" wrapText="1" readingOrder="1"/>
    </xf>
    <xf numFmtId="0" fontId="19" fillId="11" borderId="26" xfId="0" applyFont="1" applyFill="1" applyBorder="1" applyAlignment="1">
      <alignment horizontal="center" vertical="center" wrapText="1" readingOrder="1"/>
    </xf>
    <xf numFmtId="0" fontId="19" fillId="11" borderId="27"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2" borderId="21" xfId="0" applyFont="1" applyFill="1" applyBorder="1" applyAlignment="1">
      <alignment horizontal="center" vertical="center" wrapText="1" readingOrder="1"/>
    </xf>
    <xf numFmtId="0" fontId="19" fillId="12" borderId="22" xfId="0" applyFont="1" applyFill="1" applyBorder="1" applyAlignment="1">
      <alignment horizontal="center" vertical="center" wrapText="1" readingOrder="1"/>
    </xf>
    <xf numFmtId="0" fontId="19" fillId="12" borderId="2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24" xfId="0" applyFont="1" applyFill="1" applyBorder="1" applyAlignment="1">
      <alignment horizontal="center" vertical="center" wrapText="1" readingOrder="1"/>
    </xf>
    <xf numFmtId="0" fontId="19" fillId="12" borderId="25" xfId="0" applyFont="1" applyFill="1" applyBorder="1" applyAlignment="1">
      <alignment horizontal="center" vertical="center" wrapText="1" readingOrder="1"/>
    </xf>
    <xf numFmtId="0" fontId="19" fillId="12" borderId="26" xfId="0" applyFont="1" applyFill="1" applyBorder="1" applyAlignment="1">
      <alignment horizontal="center" vertical="center" wrapText="1" readingOrder="1"/>
    </xf>
    <xf numFmtId="0" fontId="19" fillId="12" borderId="27" xfId="0" applyFont="1" applyFill="1" applyBorder="1" applyAlignment="1">
      <alignment horizontal="center" vertical="center" wrapText="1" readingOrder="1"/>
    </xf>
    <xf numFmtId="0" fontId="58"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19" fillId="5" borderId="20" xfId="0" applyFont="1" applyFill="1" applyBorder="1" applyAlignment="1">
      <alignment horizontal="center" vertical="center" wrapText="1" readingOrder="1"/>
    </xf>
    <xf numFmtId="0" fontId="19" fillId="5" borderId="21" xfId="0" applyFont="1" applyFill="1" applyBorder="1" applyAlignment="1">
      <alignment horizontal="center" vertical="center" wrapText="1" readingOrder="1"/>
    </xf>
    <xf numFmtId="0" fontId="19" fillId="5" borderId="22" xfId="0" applyFont="1" applyFill="1" applyBorder="1" applyAlignment="1">
      <alignment horizontal="center" vertical="center" wrapText="1" readingOrder="1"/>
    </xf>
    <xf numFmtId="0" fontId="19" fillId="5" borderId="2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24" xfId="0" applyFont="1" applyFill="1" applyBorder="1" applyAlignment="1">
      <alignment horizontal="center" vertical="center" wrapText="1" readingOrder="1"/>
    </xf>
    <xf numFmtId="0" fontId="19" fillId="5" borderId="25" xfId="0" applyFont="1" applyFill="1" applyBorder="1" applyAlignment="1">
      <alignment horizontal="center" vertical="center" wrapText="1" readingOrder="1"/>
    </xf>
    <xf numFmtId="0" fontId="19" fillId="5" borderId="26" xfId="0" applyFont="1" applyFill="1" applyBorder="1" applyAlignment="1">
      <alignment horizontal="center" vertical="center" wrapText="1" readingOrder="1"/>
    </xf>
    <xf numFmtId="0" fontId="19" fillId="5" borderId="27"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13" borderId="21" xfId="0" applyFont="1" applyFill="1" applyBorder="1" applyAlignment="1">
      <alignment horizontal="center" vertical="center" wrapText="1" readingOrder="1"/>
    </xf>
    <xf numFmtId="0" fontId="19" fillId="13" borderId="22" xfId="0" applyFont="1" applyFill="1" applyBorder="1" applyAlignment="1">
      <alignment horizontal="center" vertical="center" wrapText="1" readingOrder="1"/>
    </xf>
    <xf numFmtId="0" fontId="19" fillId="13" borderId="2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24" xfId="0" applyFont="1" applyFill="1" applyBorder="1" applyAlignment="1">
      <alignment horizontal="center" vertical="center" wrapText="1" readingOrder="1"/>
    </xf>
    <xf numFmtId="0" fontId="19" fillId="13" borderId="25" xfId="0" applyFont="1" applyFill="1" applyBorder="1" applyAlignment="1">
      <alignment horizontal="center" vertical="center" wrapText="1" readingOrder="1"/>
    </xf>
    <xf numFmtId="0" fontId="19" fillId="13" borderId="26" xfId="0" applyFont="1" applyFill="1" applyBorder="1" applyAlignment="1">
      <alignment horizontal="center" vertical="center" wrapText="1" readingOrder="1"/>
    </xf>
    <xf numFmtId="0" fontId="19" fillId="13" borderId="27" xfId="0" applyFont="1" applyFill="1" applyBorder="1" applyAlignment="1">
      <alignment horizontal="center" vertical="center" wrapText="1" readingOrder="1"/>
    </xf>
    <xf numFmtId="0" fontId="21" fillId="0" borderId="0" xfId="0" applyFont="1" applyAlignment="1">
      <alignment horizontal="center" vertical="center"/>
    </xf>
    <xf numFmtId="0" fontId="38" fillId="0" borderId="0" xfId="0" applyFont="1" applyAlignment="1">
      <alignment horizontal="center" vertical="center"/>
    </xf>
    <xf numFmtId="0" fontId="36" fillId="15" borderId="33" xfId="0" applyFont="1" applyFill="1" applyBorder="1" applyAlignment="1">
      <alignment horizontal="center" vertical="center" wrapText="1" readingOrder="1"/>
    </xf>
    <xf numFmtId="0" fontId="36" fillId="15" borderId="3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42" xfId="0" applyFont="1" applyFill="1" applyBorder="1" applyAlignment="1">
      <alignment horizontal="center" vertical="center" wrapText="1" readingOrder="1"/>
    </xf>
    <xf numFmtId="0" fontId="33" fillId="15" borderId="43" xfId="0" applyFont="1" applyFill="1" applyBorder="1" applyAlignment="1">
      <alignment horizontal="center" vertical="center" wrapText="1" readingOrder="1"/>
    </xf>
    <xf numFmtId="0" fontId="33" fillId="3" borderId="40" xfId="0" applyFont="1" applyFill="1" applyBorder="1" applyAlignment="1">
      <alignment horizontal="center" vertical="center" wrapText="1" readingOrder="1"/>
    </xf>
    <xf numFmtId="0" fontId="33" fillId="3" borderId="35" xfId="0" applyFont="1" applyFill="1" applyBorder="1" applyAlignment="1">
      <alignment horizontal="center" vertical="center" wrapText="1" readingOrder="1"/>
    </xf>
    <xf numFmtId="0" fontId="33" fillId="3" borderId="32"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37" xfId="0" applyFont="1" applyFill="1" applyBorder="1" applyAlignment="1">
      <alignment horizontal="center" vertical="center" wrapText="1" readingOrder="1"/>
    </xf>
    <xf numFmtId="0" fontId="33" fillId="3" borderId="38"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8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40</xdr:col>
      <xdr:colOff>612323</xdr:colOff>
      <xdr:row>0</xdr:row>
      <xdr:rowOff>163286</xdr:rowOff>
    </xdr:from>
    <xdr:to>
      <xdr:col>41</xdr:col>
      <xdr:colOff>1428750</xdr:colOff>
      <xdr:row>7</xdr:row>
      <xdr:rowOff>43845</xdr:rowOff>
    </xdr:to>
    <xdr:pic>
      <xdr:nvPicPr>
        <xdr:cNvPr id="2" name="image11.png">
          <a:extLst>
            <a:ext uri="{FF2B5EF4-FFF2-40B4-BE49-F238E27FC236}">
              <a16:creationId xmlns:a16="http://schemas.microsoft.com/office/drawing/2014/main" id="{C2BF5A82-EE27-4073-A9A9-1F33CB7F10DE}"/>
            </a:ext>
          </a:extLst>
        </xdr:cNvPr>
        <xdr:cNvPicPr/>
      </xdr:nvPicPr>
      <xdr:blipFill>
        <a:blip xmlns:r="http://schemas.openxmlformats.org/officeDocument/2006/relationships" r:embed="rId1"/>
        <a:srcRect/>
        <a:stretch>
          <a:fillRect/>
        </a:stretch>
      </xdr:blipFill>
      <xdr:spPr>
        <a:xfrm>
          <a:off x="31269216" y="163286"/>
          <a:ext cx="1986642" cy="1064380"/>
        </a:xfrm>
        <a:prstGeom prst="rect">
          <a:avLst/>
        </a:prstGeom>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2559"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topLeftCell="A37" zoomScale="110" zoomScaleNormal="110" workbookViewId="0">
      <selection activeCell="B52" sqref="B52"/>
    </sheetView>
  </sheetViews>
  <sheetFormatPr defaultColWidth="11.42578125" defaultRowHeight="15"/>
  <cols>
    <col min="1" max="1" width="2.85546875" style="42" customWidth="1"/>
    <col min="2" max="3" width="24.7109375" style="42" customWidth="1"/>
    <col min="4" max="4" width="16" style="42" customWidth="1"/>
    <col min="5" max="5" width="24.7109375" style="42" customWidth="1"/>
    <col min="6" max="6" width="27.7109375" style="42" customWidth="1"/>
    <col min="7" max="8" width="24.7109375" style="42" customWidth="1"/>
    <col min="9" max="16384" width="11.42578125" style="42"/>
  </cols>
  <sheetData>
    <row r="1" spans="2:8" ht="15.75" thickBot="1"/>
    <row r="2" spans="2:8" ht="18">
      <c r="B2" s="229" t="s">
        <v>0</v>
      </c>
      <c r="C2" s="230"/>
      <c r="D2" s="230"/>
      <c r="E2" s="230"/>
      <c r="F2" s="230"/>
      <c r="G2" s="230"/>
      <c r="H2" s="231"/>
    </row>
    <row r="3" spans="2:8">
      <c r="B3" s="43"/>
      <c r="C3" s="44"/>
      <c r="D3" s="44"/>
      <c r="E3" s="44"/>
      <c r="F3" s="44"/>
      <c r="G3" s="44"/>
      <c r="H3" s="45"/>
    </row>
    <row r="4" spans="2:8" ht="63" customHeight="1">
      <c r="B4" s="232" t="s">
        <v>1</v>
      </c>
      <c r="C4" s="233"/>
      <c r="D4" s="233"/>
      <c r="E4" s="233"/>
      <c r="F4" s="233"/>
      <c r="G4" s="233"/>
      <c r="H4" s="234"/>
    </row>
    <row r="5" spans="2:8" ht="63" customHeight="1">
      <c r="B5" s="235"/>
      <c r="C5" s="236"/>
      <c r="D5" s="236"/>
      <c r="E5" s="236"/>
      <c r="F5" s="236"/>
      <c r="G5" s="236"/>
      <c r="H5" s="237"/>
    </row>
    <row r="6" spans="2:8" ht="16.5">
      <c r="B6" s="238" t="s">
        <v>2</v>
      </c>
      <c r="C6" s="239"/>
      <c r="D6" s="239"/>
      <c r="E6" s="239"/>
      <c r="F6" s="239"/>
      <c r="G6" s="239"/>
      <c r="H6" s="240"/>
    </row>
    <row r="7" spans="2:8" ht="95.25" customHeight="1">
      <c r="B7" s="248" t="s">
        <v>3</v>
      </c>
      <c r="C7" s="249"/>
      <c r="D7" s="249"/>
      <c r="E7" s="249"/>
      <c r="F7" s="249"/>
      <c r="G7" s="249"/>
      <c r="H7" s="250"/>
    </row>
    <row r="8" spans="2:8" ht="16.5">
      <c r="B8" s="79"/>
      <c r="C8" s="80"/>
      <c r="D8" s="80"/>
      <c r="E8" s="80"/>
      <c r="F8" s="80"/>
      <c r="G8" s="80"/>
      <c r="H8" s="81"/>
    </row>
    <row r="9" spans="2:8" ht="16.5" customHeight="1">
      <c r="B9" s="241" t="s">
        <v>4</v>
      </c>
      <c r="C9" s="242"/>
      <c r="D9" s="242"/>
      <c r="E9" s="242"/>
      <c r="F9" s="242"/>
      <c r="G9" s="242"/>
      <c r="H9" s="243"/>
    </row>
    <row r="10" spans="2:8" ht="44.25" customHeight="1">
      <c r="B10" s="241"/>
      <c r="C10" s="242"/>
      <c r="D10" s="242"/>
      <c r="E10" s="242"/>
      <c r="F10" s="242"/>
      <c r="G10" s="242"/>
      <c r="H10" s="243"/>
    </row>
    <row r="11" spans="2:8" ht="15.75" thickBot="1">
      <c r="B11" s="68"/>
      <c r="C11" s="71"/>
      <c r="D11" s="76"/>
      <c r="E11" s="77"/>
      <c r="F11" s="77"/>
      <c r="G11" s="78"/>
      <c r="H11" s="72"/>
    </row>
    <row r="12" spans="2:8" ht="15.75" thickTop="1">
      <c r="B12" s="68"/>
      <c r="C12" s="244" t="s">
        <v>5</v>
      </c>
      <c r="D12" s="245"/>
      <c r="E12" s="246" t="s">
        <v>6</v>
      </c>
      <c r="F12" s="247"/>
      <c r="G12" s="71"/>
      <c r="H12" s="72"/>
    </row>
    <row r="13" spans="2:8" ht="35.25" customHeight="1">
      <c r="B13" s="68"/>
      <c r="C13" s="251" t="s">
        <v>7</v>
      </c>
      <c r="D13" s="252"/>
      <c r="E13" s="253" t="s">
        <v>8</v>
      </c>
      <c r="F13" s="254"/>
      <c r="G13" s="71"/>
      <c r="H13" s="72"/>
    </row>
    <row r="14" spans="2:8" ht="17.25" customHeight="1">
      <c r="B14" s="68"/>
      <c r="C14" s="251" t="s">
        <v>9</v>
      </c>
      <c r="D14" s="252"/>
      <c r="E14" s="253" t="s">
        <v>10</v>
      </c>
      <c r="F14" s="254"/>
      <c r="G14" s="71"/>
      <c r="H14" s="72"/>
    </row>
    <row r="15" spans="2:8" ht="19.5" customHeight="1">
      <c r="B15" s="68"/>
      <c r="C15" s="251" t="s">
        <v>11</v>
      </c>
      <c r="D15" s="252"/>
      <c r="E15" s="253" t="s">
        <v>12</v>
      </c>
      <c r="F15" s="254"/>
      <c r="G15" s="71"/>
      <c r="H15" s="72"/>
    </row>
    <row r="16" spans="2:8" ht="69.75" customHeight="1">
      <c r="B16" s="68"/>
      <c r="C16" s="251" t="s">
        <v>13</v>
      </c>
      <c r="D16" s="252"/>
      <c r="E16" s="253" t="s">
        <v>14</v>
      </c>
      <c r="F16" s="254"/>
      <c r="G16" s="71"/>
      <c r="H16" s="72"/>
    </row>
    <row r="17" spans="2:8" ht="34.5" customHeight="1">
      <c r="B17" s="68"/>
      <c r="C17" s="255" t="s">
        <v>15</v>
      </c>
      <c r="D17" s="256"/>
      <c r="E17" s="257" t="s">
        <v>16</v>
      </c>
      <c r="F17" s="258"/>
      <c r="G17" s="71"/>
      <c r="H17" s="72"/>
    </row>
    <row r="18" spans="2:8" ht="27.75" customHeight="1">
      <c r="B18" s="68"/>
      <c r="C18" s="255" t="s">
        <v>17</v>
      </c>
      <c r="D18" s="256"/>
      <c r="E18" s="257" t="s">
        <v>18</v>
      </c>
      <c r="F18" s="258"/>
      <c r="G18" s="71"/>
      <c r="H18" s="72"/>
    </row>
    <row r="19" spans="2:8" ht="28.5" customHeight="1">
      <c r="B19" s="68"/>
      <c r="C19" s="255" t="s">
        <v>19</v>
      </c>
      <c r="D19" s="256"/>
      <c r="E19" s="257" t="s">
        <v>20</v>
      </c>
      <c r="F19" s="258"/>
      <c r="G19" s="71"/>
      <c r="H19" s="72"/>
    </row>
    <row r="20" spans="2:8" ht="72.75" customHeight="1">
      <c r="B20" s="68"/>
      <c r="C20" s="255" t="s">
        <v>21</v>
      </c>
      <c r="D20" s="256"/>
      <c r="E20" s="257" t="s">
        <v>22</v>
      </c>
      <c r="F20" s="258"/>
      <c r="G20" s="71"/>
      <c r="H20" s="72"/>
    </row>
    <row r="21" spans="2:8" ht="64.5" customHeight="1">
      <c r="B21" s="68"/>
      <c r="C21" s="255" t="s">
        <v>23</v>
      </c>
      <c r="D21" s="256"/>
      <c r="E21" s="257" t="s">
        <v>24</v>
      </c>
      <c r="F21" s="258"/>
      <c r="G21" s="71"/>
      <c r="H21" s="72"/>
    </row>
    <row r="22" spans="2:8" ht="71.25" customHeight="1">
      <c r="B22" s="68"/>
      <c r="C22" s="255" t="s">
        <v>25</v>
      </c>
      <c r="D22" s="256"/>
      <c r="E22" s="257" t="s">
        <v>26</v>
      </c>
      <c r="F22" s="258"/>
      <c r="G22" s="71"/>
      <c r="H22" s="72"/>
    </row>
    <row r="23" spans="2:8" ht="55.5" customHeight="1">
      <c r="B23" s="68"/>
      <c r="C23" s="262" t="s">
        <v>27</v>
      </c>
      <c r="D23" s="263"/>
      <c r="E23" s="257" t="s">
        <v>28</v>
      </c>
      <c r="F23" s="258"/>
      <c r="G23" s="71"/>
      <c r="H23" s="72"/>
    </row>
    <row r="24" spans="2:8" ht="42" customHeight="1">
      <c r="B24" s="68"/>
      <c r="C24" s="262" t="s">
        <v>29</v>
      </c>
      <c r="D24" s="263"/>
      <c r="E24" s="257" t="s">
        <v>30</v>
      </c>
      <c r="F24" s="258"/>
      <c r="G24" s="71"/>
      <c r="H24" s="72"/>
    </row>
    <row r="25" spans="2:8" ht="59.25" customHeight="1">
      <c r="B25" s="68"/>
      <c r="C25" s="262" t="s">
        <v>31</v>
      </c>
      <c r="D25" s="263"/>
      <c r="E25" s="257" t="s">
        <v>32</v>
      </c>
      <c r="F25" s="258"/>
      <c r="G25" s="71"/>
      <c r="H25" s="72"/>
    </row>
    <row r="26" spans="2:8" ht="23.25" customHeight="1">
      <c r="B26" s="68"/>
      <c r="C26" s="262" t="s">
        <v>33</v>
      </c>
      <c r="D26" s="263"/>
      <c r="E26" s="257" t="s">
        <v>34</v>
      </c>
      <c r="F26" s="258"/>
      <c r="G26" s="71"/>
      <c r="H26" s="72"/>
    </row>
    <row r="27" spans="2:8" ht="30.75" customHeight="1">
      <c r="B27" s="68"/>
      <c r="C27" s="262" t="s">
        <v>35</v>
      </c>
      <c r="D27" s="263"/>
      <c r="E27" s="257" t="s">
        <v>36</v>
      </c>
      <c r="F27" s="258"/>
      <c r="G27" s="71"/>
      <c r="H27" s="72"/>
    </row>
    <row r="28" spans="2:8" ht="35.25" customHeight="1">
      <c r="B28" s="68"/>
      <c r="C28" s="262" t="s">
        <v>37</v>
      </c>
      <c r="D28" s="263"/>
      <c r="E28" s="257" t="s">
        <v>38</v>
      </c>
      <c r="F28" s="258"/>
      <c r="G28" s="71"/>
      <c r="H28" s="72"/>
    </row>
    <row r="29" spans="2:8" ht="33" customHeight="1">
      <c r="B29" s="68"/>
      <c r="C29" s="262" t="s">
        <v>37</v>
      </c>
      <c r="D29" s="263"/>
      <c r="E29" s="257" t="s">
        <v>38</v>
      </c>
      <c r="F29" s="258"/>
      <c r="G29" s="71"/>
      <c r="H29" s="72"/>
    </row>
    <row r="30" spans="2:8" ht="30" customHeight="1">
      <c r="B30" s="68"/>
      <c r="C30" s="262" t="s">
        <v>39</v>
      </c>
      <c r="D30" s="263"/>
      <c r="E30" s="257" t="s">
        <v>40</v>
      </c>
      <c r="F30" s="258"/>
      <c r="G30" s="71"/>
      <c r="H30" s="72"/>
    </row>
    <row r="31" spans="2:8" ht="35.25" customHeight="1">
      <c r="B31" s="68"/>
      <c r="C31" s="262" t="s">
        <v>41</v>
      </c>
      <c r="D31" s="263"/>
      <c r="E31" s="257" t="s">
        <v>42</v>
      </c>
      <c r="F31" s="258"/>
      <c r="G31" s="71"/>
      <c r="H31" s="72"/>
    </row>
    <row r="32" spans="2:8" ht="31.5" customHeight="1">
      <c r="B32" s="68"/>
      <c r="C32" s="262" t="s">
        <v>43</v>
      </c>
      <c r="D32" s="263"/>
      <c r="E32" s="257" t="s">
        <v>44</v>
      </c>
      <c r="F32" s="258"/>
      <c r="G32" s="71"/>
      <c r="H32" s="72"/>
    </row>
    <row r="33" spans="2:8" ht="35.25" customHeight="1">
      <c r="B33" s="68"/>
      <c r="C33" s="262" t="s">
        <v>45</v>
      </c>
      <c r="D33" s="263"/>
      <c r="E33" s="257" t="s">
        <v>46</v>
      </c>
      <c r="F33" s="258"/>
      <c r="G33" s="71"/>
      <c r="H33" s="72"/>
    </row>
    <row r="34" spans="2:8" ht="59.25" customHeight="1">
      <c r="B34" s="68"/>
      <c r="C34" s="262" t="s">
        <v>47</v>
      </c>
      <c r="D34" s="263"/>
      <c r="E34" s="257" t="s">
        <v>48</v>
      </c>
      <c r="F34" s="258"/>
      <c r="G34" s="71"/>
      <c r="H34" s="72"/>
    </row>
    <row r="35" spans="2:8" ht="29.25" customHeight="1">
      <c r="B35" s="68"/>
      <c r="C35" s="262" t="s">
        <v>49</v>
      </c>
      <c r="D35" s="263"/>
      <c r="E35" s="257" t="s">
        <v>50</v>
      </c>
      <c r="F35" s="258"/>
      <c r="G35" s="71"/>
      <c r="H35" s="72"/>
    </row>
    <row r="36" spans="2:8" ht="82.5" customHeight="1">
      <c r="B36" s="68"/>
      <c r="C36" s="262" t="s">
        <v>51</v>
      </c>
      <c r="D36" s="263"/>
      <c r="E36" s="257" t="s">
        <v>52</v>
      </c>
      <c r="F36" s="258"/>
      <c r="G36" s="71"/>
      <c r="H36" s="72"/>
    </row>
    <row r="37" spans="2:8" ht="46.5" customHeight="1">
      <c r="B37" s="68"/>
      <c r="C37" s="262" t="s">
        <v>53</v>
      </c>
      <c r="D37" s="263"/>
      <c r="E37" s="257" t="s">
        <v>54</v>
      </c>
      <c r="F37" s="258"/>
      <c r="G37" s="71"/>
      <c r="H37" s="72"/>
    </row>
    <row r="38" spans="2:8" ht="6.75" customHeight="1" thickBot="1">
      <c r="B38" s="68"/>
      <c r="C38" s="264"/>
      <c r="D38" s="265"/>
      <c r="E38" s="266"/>
      <c r="F38" s="267"/>
      <c r="G38" s="71"/>
      <c r="H38" s="72"/>
    </row>
    <row r="39" spans="2:8" ht="15.75" thickTop="1">
      <c r="B39" s="68"/>
      <c r="C39" s="69"/>
      <c r="D39" s="69"/>
      <c r="E39" s="70"/>
      <c r="F39" s="70"/>
      <c r="G39" s="71"/>
      <c r="H39" s="72"/>
    </row>
    <row r="40" spans="2:8" ht="21" customHeight="1">
      <c r="B40" s="259" t="s">
        <v>55</v>
      </c>
      <c r="C40" s="260"/>
      <c r="D40" s="260"/>
      <c r="E40" s="260"/>
      <c r="F40" s="260"/>
      <c r="G40" s="260"/>
      <c r="H40" s="261"/>
    </row>
    <row r="41" spans="2:8" ht="20.25" customHeight="1">
      <c r="B41" s="259" t="s">
        <v>56</v>
      </c>
      <c r="C41" s="260"/>
      <c r="D41" s="260"/>
      <c r="E41" s="260"/>
      <c r="F41" s="260"/>
      <c r="G41" s="260"/>
      <c r="H41" s="261"/>
    </row>
    <row r="42" spans="2:8" ht="20.25" customHeight="1">
      <c r="B42" s="259" t="s">
        <v>57</v>
      </c>
      <c r="C42" s="260"/>
      <c r="D42" s="260"/>
      <c r="E42" s="260"/>
      <c r="F42" s="260"/>
      <c r="G42" s="260"/>
      <c r="H42" s="261"/>
    </row>
    <row r="43" spans="2:8" ht="20.25" customHeight="1">
      <c r="B43" s="259" t="s">
        <v>58</v>
      </c>
      <c r="C43" s="260"/>
      <c r="D43" s="260"/>
      <c r="E43" s="260"/>
      <c r="F43" s="260"/>
      <c r="G43" s="260"/>
      <c r="H43" s="261"/>
    </row>
    <row r="44" spans="2:8">
      <c r="B44" s="259" t="s">
        <v>59</v>
      </c>
      <c r="C44" s="260"/>
      <c r="D44" s="260"/>
      <c r="E44" s="260"/>
      <c r="F44" s="260"/>
      <c r="G44" s="260"/>
      <c r="H44" s="261"/>
    </row>
    <row r="45" spans="2:8" ht="15.75" thickBot="1">
      <c r="B45" s="73"/>
      <c r="C45" s="74"/>
      <c r="D45" s="74"/>
      <c r="E45" s="74"/>
      <c r="F45" s="74"/>
      <c r="G45" s="74"/>
      <c r="H45" s="75"/>
    </row>
    <row r="47" spans="2:8">
      <c r="B47" s="105" t="s">
        <v>60</v>
      </c>
    </row>
    <row r="48" spans="2:8">
      <c r="B48" s="42" t="s">
        <v>61</v>
      </c>
    </row>
    <row r="49" spans="2:2">
      <c r="B49" s="42" t="s">
        <v>62</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KB75"/>
  <sheetViews>
    <sheetView tabSelected="1" zoomScaleNormal="100" workbookViewId="0"/>
  </sheetViews>
  <sheetFormatPr defaultColWidth="11.42578125" defaultRowHeight="16.5"/>
  <cols>
    <col min="1" max="1" width="10.5703125" style="2" customWidth="1"/>
    <col min="2" max="2" width="22.85546875" style="2" customWidth="1"/>
    <col min="3" max="3" width="51.85546875" style="2" customWidth="1"/>
    <col min="4" max="4" width="20.28515625" style="2" customWidth="1"/>
    <col min="5" max="5" width="15.85546875" style="2" customWidth="1"/>
    <col min="6" max="6" width="27.28515625" style="2" customWidth="1"/>
    <col min="7" max="7" width="31.7109375" style="2" customWidth="1"/>
    <col min="8" max="8" width="58.5703125" style="1" customWidth="1"/>
    <col min="9" max="9" width="27.140625" style="1" customWidth="1"/>
    <col min="10" max="10" width="17.85546875" style="1" bestFit="1" customWidth="1"/>
    <col min="11" max="11" width="26.140625" style="1" customWidth="1"/>
    <col min="12" max="12" width="25.28515625" style="1" customWidth="1"/>
    <col min="13" max="13" width="19" style="5" customWidth="1"/>
    <col min="14" max="14" width="17.85546875" style="1" customWidth="1"/>
    <col min="15" max="15" width="16.5703125" style="1" customWidth="1"/>
    <col min="16" max="16" width="7.85546875" style="1" bestFit="1" customWidth="1"/>
    <col min="17" max="17" width="27.28515625" style="1" bestFit="1" customWidth="1"/>
    <col min="18" max="18" width="24.7109375" style="1" customWidth="1"/>
    <col min="19" max="19" width="17.5703125" style="1" customWidth="1"/>
    <col min="20" max="20" width="7.85546875" style="1" bestFit="1" customWidth="1"/>
    <col min="21" max="21" width="16" style="1" customWidth="1"/>
    <col min="22" max="22" width="5.85546875" style="1" customWidth="1"/>
    <col min="23" max="23" width="46.5703125" style="1" customWidth="1"/>
    <col min="24" max="24" width="15.140625" style="1" bestFit="1" customWidth="1"/>
    <col min="25" max="25" width="6.85546875" style="1" customWidth="1"/>
    <col min="26" max="26" width="5" style="1" customWidth="1"/>
    <col min="27" max="27" width="7" style="1" customWidth="1"/>
    <col min="28" max="28" width="7.140625" style="1" customWidth="1"/>
    <col min="29" max="29" width="6.7109375" style="1" customWidth="1"/>
    <col min="30" max="30" width="7.5703125" style="1" customWidth="1"/>
    <col min="31" max="31" width="7.28515625" style="128" customWidth="1"/>
    <col min="32" max="32" width="8.7109375" style="1" customWidth="1"/>
    <col min="33" max="33" width="10.42578125" style="1" customWidth="1"/>
    <col min="34" max="34" width="9.7109375" style="1" customWidth="1"/>
    <col min="35" max="35" width="9.140625" style="1" customWidth="1"/>
    <col min="36" max="36" width="8.42578125" style="1" customWidth="1"/>
    <col min="37" max="37" width="7.28515625" style="1" customWidth="1"/>
    <col min="38" max="38" width="52.85546875" style="1" customWidth="1"/>
    <col min="39" max="39" width="29.42578125" style="1" customWidth="1"/>
    <col min="40" max="40" width="20.28515625" style="1" customWidth="1"/>
    <col min="41" max="41" width="17.5703125" style="1" customWidth="1"/>
    <col min="42" max="42" width="101.7109375" style="1" customWidth="1"/>
    <col min="43" max="43" width="21" style="1" customWidth="1"/>
    <col min="44" max="44" width="31.28515625" style="1" customWidth="1"/>
    <col min="45" max="16384" width="11.42578125" style="1"/>
  </cols>
  <sheetData>
    <row r="1" spans="1:288">
      <c r="A1" s="25"/>
      <c r="B1" s="25"/>
      <c r="C1" s="25"/>
      <c r="D1" s="25"/>
      <c r="E1" s="25"/>
      <c r="F1" s="25"/>
      <c r="G1" s="25"/>
      <c r="H1" s="6"/>
      <c r="I1" s="6"/>
      <c r="J1" s="6"/>
      <c r="K1" s="6"/>
      <c r="L1" s="6"/>
      <c r="M1" s="24"/>
      <c r="N1" s="6"/>
      <c r="O1" s="6"/>
      <c r="P1" s="6"/>
      <c r="Q1" s="6"/>
      <c r="R1" s="6"/>
      <c r="S1" s="6"/>
      <c r="T1" s="6"/>
      <c r="U1" s="6"/>
      <c r="V1" s="6"/>
      <c r="W1" s="6"/>
      <c r="X1" s="6"/>
      <c r="Y1" s="6"/>
      <c r="Z1" s="6"/>
      <c r="AA1" s="6"/>
      <c r="AB1" s="6"/>
      <c r="AC1" s="6"/>
      <c r="AD1" s="6"/>
      <c r="AE1" s="125"/>
      <c r="AF1" s="6"/>
      <c r="AG1" s="6"/>
      <c r="AH1" s="6"/>
      <c r="AI1" s="6"/>
      <c r="AJ1" s="6"/>
      <c r="AK1" s="6"/>
      <c r="AL1" s="6"/>
      <c r="AM1" s="6"/>
      <c r="AN1" s="6"/>
      <c r="AO1" s="6"/>
      <c r="AP1" s="6"/>
      <c r="AQ1" s="6"/>
    </row>
    <row r="2" spans="1:288">
      <c r="A2" s="25"/>
      <c r="B2" s="25"/>
      <c r="C2" s="83" t="s">
        <v>63</v>
      </c>
      <c r="D2" s="83"/>
      <c r="E2" s="25"/>
      <c r="F2" s="25"/>
      <c r="G2" s="25"/>
      <c r="H2" s="6"/>
      <c r="I2" s="6"/>
      <c r="J2" s="6"/>
      <c r="K2" s="6"/>
      <c r="L2" s="6"/>
      <c r="M2" s="24"/>
      <c r="N2" s="6"/>
      <c r="O2" s="6"/>
      <c r="P2" s="6"/>
      <c r="Q2" s="6"/>
      <c r="R2" s="6"/>
      <c r="S2" s="6"/>
      <c r="T2" s="6"/>
      <c r="U2" s="6"/>
      <c r="V2" s="6"/>
      <c r="W2" s="6"/>
      <c r="X2" s="6"/>
      <c r="Y2" s="6"/>
      <c r="Z2" s="6"/>
      <c r="AA2" s="6"/>
      <c r="AB2" s="6"/>
      <c r="AC2" s="6"/>
      <c r="AD2" s="6"/>
      <c r="AE2" s="125"/>
      <c r="AF2" s="6"/>
      <c r="AG2" s="6"/>
      <c r="AH2" s="6"/>
      <c r="AI2" s="6"/>
      <c r="AJ2" s="6"/>
      <c r="AK2" s="6"/>
      <c r="AL2" s="6"/>
      <c r="AM2" s="6"/>
      <c r="AN2" s="6"/>
      <c r="AO2" s="6"/>
      <c r="AP2" s="6"/>
      <c r="AQ2" s="6"/>
    </row>
    <row r="3" spans="1:288">
      <c r="A3" s="25"/>
      <c r="B3" s="25"/>
      <c r="C3" s="83" t="s">
        <v>64</v>
      </c>
      <c r="D3" s="83"/>
      <c r="E3" s="25"/>
      <c r="F3" s="25"/>
      <c r="G3" s="25"/>
      <c r="H3" s="6"/>
      <c r="I3" s="6"/>
      <c r="J3" s="6"/>
      <c r="K3" s="6"/>
      <c r="L3" s="6"/>
      <c r="M3" s="24"/>
      <c r="N3" s="6"/>
      <c r="O3" s="6"/>
      <c r="P3" s="6"/>
      <c r="Q3" s="6"/>
      <c r="R3" s="6"/>
      <c r="S3" s="6"/>
      <c r="T3" s="6"/>
      <c r="U3" s="6"/>
      <c r="V3" s="6"/>
      <c r="W3" s="6"/>
      <c r="X3" s="6"/>
      <c r="Y3" s="6"/>
      <c r="Z3" s="6"/>
      <c r="AA3" s="6"/>
      <c r="AB3" s="6"/>
      <c r="AC3" s="6"/>
      <c r="AD3" s="6"/>
      <c r="AE3" s="125"/>
      <c r="AF3" s="6"/>
      <c r="AG3" s="6"/>
      <c r="AH3" s="6"/>
      <c r="AI3" s="6"/>
      <c r="AJ3" s="6"/>
      <c r="AK3" s="6"/>
      <c r="AL3" s="6"/>
      <c r="AM3" s="6"/>
      <c r="AN3" s="6"/>
      <c r="AO3" s="6"/>
      <c r="AP3" s="6"/>
      <c r="AQ3" s="6"/>
    </row>
    <row r="4" spans="1:288" ht="16.5" customHeight="1">
      <c r="A4" s="25"/>
      <c r="B4" s="25"/>
      <c r="C4" s="83" t="s">
        <v>65</v>
      </c>
      <c r="D4" s="83"/>
      <c r="E4" s="25"/>
      <c r="F4" s="25"/>
      <c r="G4" s="25"/>
      <c r="H4" s="6"/>
      <c r="I4" s="6"/>
      <c r="J4" s="6"/>
      <c r="K4" s="6"/>
      <c r="L4" s="6"/>
      <c r="M4" s="24"/>
      <c r="N4" s="6"/>
      <c r="O4" s="6"/>
      <c r="P4" s="6"/>
      <c r="Q4" s="6"/>
      <c r="R4" s="6"/>
      <c r="S4" s="6"/>
      <c r="T4" s="6"/>
      <c r="U4" s="6"/>
      <c r="V4" s="6"/>
      <c r="W4" s="6"/>
      <c r="X4" s="6"/>
      <c r="Y4" s="6"/>
      <c r="Z4" s="6"/>
      <c r="AA4" s="6"/>
      <c r="AB4" s="6"/>
      <c r="AC4" s="6"/>
      <c r="AD4" s="6"/>
      <c r="AE4" s="125"/>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1:288">
      <c r="A5" s="25"/>
      <c r="B5" s="25"/>
      <c r="C5" s="83" t="s">
        <v>66</v>
      </c>
      <c r="D5" s="83"/>
      <c r="E5" s="25"/>
      <c r="F5" s="25"/>
      <c r="G5" s="25"/>
      <c r="H5" s="6"/>
      <c r="I5" s="6"/>
      <c r="J5" s="6"/>
      <c r="K5" s="6"/>
      <c r="L5" s="6"/>
      <c r="M5" s="24"/>
      <c r="N5" s="6"/>
      <c r="O5" s="6"/>
      <c r="P5" s="6"/>
      <c r="Q5" s="6"/>
      <c r="R5" s="6"/>
      <c r="S5" s="6"/>
      <c r="T5" s="6"/>
      <c r="U5" s="6"/>
      <c r="V5" s="6"/>
      <c r="W5" s="6"/>
      <c r="X5" s="6"/>
      <c r="Y5" s="6"/>
      <c r="Z5" s="6"/>
      <c r="AA5" s="6"/>
      <c r="AB5" s="6"/>
      <c r="AC5" s="6"/>
      <c r="AD5" s="6"/>
      <c r="AE5" s="125"/>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1:288" ht="12.75" customHeight="1">
      <c r="A6" s="25"/>
      <c r="B6" s="25"/>
      <c r="C6" s="25"/>
      <c r="D6" s="25"/>
      <c r="E6" s="82"/>
      <c r="F6" s="25"/>
      <c r="G6" s="25"/>
      <c r="H6" s="6"/>
      <c r="I6" s="6"/>
      <c r="J6" s="6"/>
      <c r="K6" s="6"/>
      <c r="L6" s="6"/>
      <c r="M6" s="24"/>
      <c r="N6" s="6"/>
      <c r="O6" s="6"/>
      <c r="P6" s="6"/>
      <c r="Q6" s="6"/>
      <c r="R6" s="6"/>
      <c r="S6" s="6"/>
      <c r="T6" s="6"/>
      <c r="U6" s="6"/>
      <c r="V6" s="6"/>
      <c r="W6" s="6"/>
      <c r="X6" s="6"/>
      <c r="Y6" s="6"/>
      <c r="Z6" s="6"/>
      <c r="AA6" s="6"/>
      <c r="AB6" s="6"/>
      <c r="AC6" s="6"/>
      <c r="AD6" s="6"/>
      <c r="AE6" s="125"/>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288" ht="13.5" hidden="1" customHeight="1">
      <c r="A7" s="25"/>
      <c r="B7" s="25"/>
      <c r="C7" s="25"/>
      <c r="D7" s="25"/>
      <c r="E7" s="82"/>
      <c r="F7" s="25"/>
      <c r="G7" s="25"/>
      <c r="H7" s="6"/>
      <c r="I7" s="6"/>
      <c r="J7" s="6"/>
      <c r="K7" s="6"/>
      <c r="L7" s="6"/>
      <c r="M7" s="24"/>
      <c r="N7" s="6"/>
      <c r="O7" s="6"/>
      <c r="P7" s="6"/>
      <c r="Q7" s="6"/>
      <c r="R7" s="6"/>
      <c r="S7" s="6"/>
      <c r="T7" s="6"/>
      <c r="U7" s="6"/>
      <c r="V7" s="6"/>
      <c r="W7" s="6"/>
      <c r="X7" s="6"/>
      <c r="Y7" s="6"/>
      <c r="Z7" s="6"/>
      <c r="AA7" s="6"/>
      <c r="AB7" s="6"/>
      <c r="AC7" s="6"/>
      <c r="AD7" s="6"/>
      <c r="AE7" s="125"/>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288" ht="8.25" customHeight="1">
      <c r="A8" s="84"/>
      <c r="B8" s="84"/>
      <c r="C8" s="25"/>
      <c r="D8" s="25"/>
      <c r="E8" s="84"/>
      <c r="F8" s="349"/>
      <c r="G8" s="349"/>
      <c r="H8" s="349"/>
      <c r="I8" s="349"/>
      <c r="J8" s="349"/>
      <c r="K8" s="349"/>
      <c r="L8" s="349"/>
      <c r="M8" s="349"/>
      <c r="N8" s="349"/>
      <c r="O8" s="349"/>
      <c r="P8" s="349"/>
      <c r="Q8" s="349"/>
      <c r="R8" s="349"/>
      <c r="S8" s="349"/>
      <c r="T8" s="349"/>
      <c r="U8" s="349"/>
      <c r="V8" s="350"/>
      <c r="W8" s="350"/>
      <c r="X8" s="350"/>
      <c r="Y8" s="6"/>
      <c r="Z8" s="6"/>
      <c r="AA8" s="6"/>
      <c r="AB8" s="6"/>
      <c r="AC8" s="6"/>
      <c r="AD8" s="6"/>
      <c r="AE8" s="125"/>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288" ht="16.5" customHeight="1">
      <c r="A9" s="84"/>
      <c r="B9" s="84"/>
      <c r="C9" s="83" t="s">
        <v>67</v>
      </c>
      <c r="D9" s="83"/>
      <c r="E9" s="84"/>
      <c r="F9" s="85"/>
      <c r="G9" s="85"/>
      <c r="H9" s="85"/>
      <c r="I9" s="85"/>
      <c r="J9" s="85"/>
      <c r="K9" s="85"/>
      <c r="L9" s="85"/>
      <c r="M9" s="85"/>
      <c r="N9" s="85"/>
      <c r="O9" s="85"/>
      <c r="P9" s="85"/>
      <c r="Q9" s="85"/>
      <c r="R9" s="85"/>
      <c r="S9" s="85"/>
      <c r="T9" s="85"/>
      <c r="U9" s="85"/>
      <c r="V9" s="82"/>
      <c r="W9" s="82"/>
      <c r="X9" s="82"/>
      <c r="Y9" s="6"/>
      <c r="Z9" s="6"/>
      <c r="AA9" s="6"/>
      <c r="AB9" s="6"/>
      <c r="AC9" s="6"/>
      <c r="AD9" s="6"/>
      <c r="AE9" s="125"/>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1:288" ht="30" customHeight="1">
      <c r="A10" s="323" t="s">
        <v>68</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1:288" ht="10.5" customHeight="1">
      <c r="A11" s="99"/>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26"/>
      <c r="AF11" s="100"/>
      <c r="AG11" s="100"/>
      <c r="AH11" s="100"/>
      <c r="AI11" s="100"/>
      <c r="AJ11" s="100"/>
      <c r="AK11" s="100"/>
      <c r="AL11" s="100"/>
      <c r="AM11" s="100"/>
      <c r="AN11" s="100"/>
      <c r="AO11" s="100"/>
      <c r="AP11" s="100"/>
      <c r="AQ11" s="100"/>
      <c r="AR11" s="100"/>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288">
      <c r="A12" s="325" t="s">
        <v>69</v>
      </c>
      <c r="B12" s="326"/>
      <c r="C12" s="326"/>
      <c r="D12" s="326"/>
      <c r="E12" s="326"/>
      <c r="F12" s="326"/>
      <c r="G12" s="326"/>
      <c r="H12" s="326"/>
      <c r="I12" s="326"/>
      <c r="J12" s="326"/>
      <c r="K12" s="326"/>
      <c r="L12" s="326"/>
      <c r="M12" s="326"/>
      <c r="N12" s="351"/>
      <c r="O12" s="352" t="s">
        <v>70</v>
      </c>
      <c r="P12" s="353"/>
      <c r="Q12" s="353"/>
      <c r="R12" s="353"/>
      <c r="S12" s="353"/>
      <c r="T12" s="353"/>
      <c r="U12" s="354"/>
      <c r="V12" s="325" t="s">
        <v>71</v>
      </c>
      <c r="W12" s="326"/>
      <c r="X12" s="326"/>
      <c r="Y12" s="326"/>
      <c r="Z12" s="326"/>
      <c r="AA12" s="326"/>
      <c r="AB12" s="326"/>
      <c r="AC12" s="326"/>
      <c r="AD12" s="351"/>
      <c r="AE12" s="352" t="s">
        <v>72</v>
      </c>
      <c r="AF12" s="353"/>
      <c r="AG12" s="353"/>
      <c r="AH12" s="353"/>
      <c r="AI12" s="353"/>
      <c r="AJ12" s="353"/>
      <c r="AK12" s="354"/>
      <c r="AL12" s="325" t="s">
        <v>73</v>
      </c>
      <c r="AM12" s="326"/>
      <c r="AN12" s="326"/>
      <c r="AO12" s="326"/>
      <c r="AP12" s="326"/>
      <c r="AQ12" s="326"/>
      <c r="AR12" s="32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288" ht="44.25" customHeight="1">
      <c r="A13" s="336" t="s">
        <v>74</v>
      </c>
      <c r="B13" s="322" t="s">
        <v>75</v>
      </c>
      <c r="C13" s="327" t="s">
        <v>76</v>
      </c>
      <c r="D13" s="327" t="s">
        <v>77</v>
      </c>
      <c r="E13" s="339" t="s">
        <v>15</v>
      </c>
      <c r="F13" s="328" t="s">
        <v>17</v>
      </c>
      <c r="G13" s="328" t="s">
        <v>78</v>
      </c>
      <c r="H13" s="338" t="s">
        <v>21</v>
      </c>
      <c r="I13" s="332" t="s">
        <v>79</v>
      </c>
      <c r="J13" s="333"/>
      <c r="K13" s="333"/>
      <c r="L13" s="334"/>
      <c r="M13" s="327" t="s">
        <v>23</v>
      </c>
      <c r="N13" s="328" t="s">
        <v>80</v>
      </c>
      <c r="O13" s="330" t="s">
        <v>81</v>
      </c>
      <c r="P13" s="345" t="s">
        <v>82</v>
      </c>
      <c r="Q13" s="335" t="s">
        <v>83</v>
      </c>
      <c r="R13" s="335" t="s">
        <v>84</v>
      </c>
      <c r="S13" s="347" t="s">
        <v>85</v>
      </c>
      <c r="T13" s="345" t="s">
        <v>82</v>
      </c>
      <c r="U13" s="331" t="s">
        <v>29</v>
      </c>
      <c r="V13" s="342" t="s">
        <v>86</v>
      </c>
      <c r="W13" s="322" t="s">
        <v>31</v>
      </c>
      <c r="X13" s="327" t="s">
        <v>33</v>
      </c>
      <c r="Y13" s="322" t="s">
        <v>87</v>
      </c>
      <c r="Z13" s="322"/>
      <c r="AA13" s="322"/>
      <c r="AB13" s="322"/>
      <c r="AC13" s="322"/>
      <c r="AD13" s="322"/>
      <c r="AE13" s="344" t="s">
        <v>88</v>
      </c>
      <c r="AF13" s="329" t="s">
        <v>89</v>
      </c>
      <c r="AG13" s="329" t="s">
        <v>82</v>
      </c>
      <c r="AH13" s="329" t="s">
        <v>90</v>
      </c>
      <c r="AI13" s="329" t="s">
        <v>82</v>
      </c>
      <c r="AJ13" s="329" t="s">
        <v>91</v>
      </c>
      <c r="AK13" s="340" t="s">
        <v>49</v>
      </c>
      <c r="AL13" s="322" t="s">
        <v>73</v>
      </c>
      <c r="AM13" s="322" t="s">
        <v>92</v>
      </c>
      <c r="AN13" s="322" t="s">
        <v>93</v>
      </c>
      <c r="AO13" s="322" t="s">
        <v>94</v>
      </c>
      <c r="AP13" s="322" t="s">
        <v>95</v>
      </c>
      <c r="AQ13" s="322" t="s">
        <v>53</v>
      </c>
      <c r="AR13" s="322" t="s">
        <v>96</v>
      </c>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288" s="4" customFormat="1" ht="94.5" customHeight="1">
      <c r="A14" s="337"/>
      <c r="B14" s="322"/>
      <c r="C14" s="328"/>
      <c r="D14" s="328"/>
      <c r="E14" s="339"/>
      <c r="F14" s="322"/>
      <c r="G14" s="322"/>
      <c r="H14" s="339"/>
      <c r="I14" s="104" t="s">
        <v>97</v>
      </c>
      <c r="J14" s="104" t="s">
        <v>98</v>
      </c>
      <c r="K14" s="104" t="s">
        <v>99</v>
      </c>
      <c r="L14" s="104" t="s">
        <v>100</v>
      </c>
      <c r="M14" s="328"/>
      <c r="N14" s="322"/>
      <c r="O14" s="331"/>
      <c r="P14" s="346"/>
      <c r="Q14" s="331"/>
      <c r="R14" s="331"/>
      <c r="S14" s="346"/>
      <c r="T14" s="346"/>
      <c r="U14" s="348"/>
      <c r="V14" s="343"/>
      <c r="W14" s="322"/>
      <c r="X14" s="328"/>
      <c r="Y14" s="101" t="s">
        <v>101</v>
      </c>
      <c r="Z14" s="101" t="s">
        <v>102</v>
      </c>
      <c r="AA14" s="101" t="s">
        <v>103</v>
      </c>
      <c r="AB14" s="101" t="s">
        <v>104</v>
      </c>
      <c r="AC14" s="101" t="s">
        <v>105</v>
      </c>
      <c r="AD14" s="101" t="s">
        <v>106</v>
      </c>
      <c r="AE14" s="344"/>
      <c r="AF14" s="329"/>
      <c r="AG14" s="329"/>
      <c r="AH14" s="329"/>
      <c r="AI14" s="329"/>
      <c r="AJ14" s="329"/>
      <c r="AK14" s="341"/>
      <c r="AL14" s="322"/>
      <c r="AM14" s="322"/>
      <c r="AN14" s="322"/>
      <c r="AO14" s="322"/>
      <c r="AP14" s="322"/>
      <c r="AQ14" s="322"/>
      <c r="AR14" s="3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c r="IV14" s="102"/>
      <c r="IW14" s="102"/>
      <c r="IX14" s="102"/>
      <c r="IY14" s="102"/>
      <c r="IZ14" s="102"/>
      <c r="JA14" s="102"/>
      <c r="JB14" s="102"/>
      <c r="JC14" s="102"/>
      <c r="JD14" s="102"/>
      <c r="JE14" s="102"/>
      <c r="JF14" s="102"/>
      <c r="JG14" s="102"/>
      <c r="JH14" s="102"/>
      <c r="JI14" s="102"/>
      <c r="JJ14" s="102"/>
      <c r="JK14" s="102"/>
      <c r="JL14" s="102"/>
      <c r="JM14" s="102"/>
      <c r="JN14" s="102"/>
      <c r="JO14" s="102"/>
      <c r="JP14" s="102"/>
      <c r="JQ14" s="102"/>
      <c r="JR14" s="102"/>
      <c r="JS14" s="102"/>
      <c r="JT14" s="102"/>
      <c r="JU14" s="102"/>
      <c r="JV14" s="102"/>
      <c r="JW14" s="102"/>
      <c r="JX14" s="102"/>
      <c r="JY14" s="102"/>
      <c r="JZ14" s="102"/>
      <c r="KA14" s="102"/>
      <c r="KB14" s="102"/>
    </row>
    <row r="15" spans="1:288" s="3" customFormat="1" ht="165.75" customHeight="1">
      <c r="A15" s="116" t="s">
        <v>107</v>
      </c>
      <c r="B15" s="86" t="s">
        <v>108</v>
      </c>
      <c r="C15" s="86" t="s">
        <v>109</v>
      </c>
      <c r="D15" s="111" t="s">
        <v>110</v>
      </c>
      <c r="E15" s="110" t="s">
        <v>111</v>
      </c>
      <c r="F15" s="110" t="s">
        <v>112</v>
      </c>
      <c r="G15" s="110" t="s">
        <v>113</v>
      </c>
      <c r="H15" s="112" t="s">
        <v>114</v>
      </c>
      <c r="I15" s="103" t="s">
        <v>115</v>
      </c>
      <c r="J15" s="103" t="s">
        <v>115</v>
      </c>
      <c r="K15" s="103" t="s">
        <v>115</v>
      </c>
      <c r="L15" s="103" t="s">
        <v>115</v>
      </c>
      <c r="M15" s="110" t="s">
        <v>116</v>
      </c>
      <c r="N15" s="120">
        <v>12</v>
      </c>
      <c r="O15" s="118" t="str">
        <f>IF(N15&lt;=0,"",IF(N15&lt;=2,"Muy Baja",IF(N15&lt;=24,"Baja",IF(N15&lt;=500,"Media",IF(N15&lt;=5000,"Alta","Muy Alta")))))</f>
        <v>Baja</v>
      </c>
      <c r="P15" s="117">
        <f>IF(O15="","",IF(O15="Muy Baja",0.2,IF(O15="Baja",0.4,IF(O15="Media",0.6,IF(O15="Alta",0.8,IF(O15="Muy Alta",1,))))))</f>
        <v>0.4</v>
      </c>
      <c r="Q15" s="113" t="s">
        <v>117</v>
      </c>
      <c r="R15" s="109" t="str">
        <f>IF(NOT(ISERROR(MATCH(Q15,'Tabla Impacto'!$B$221:$B$223,0))),'Tabla Impacto'!$F$223&amp;"Por favor no seleccionar los criterios de impacto(Afectación Económica o presupuestal y Pérdida Reputacional)",Q15)</f>
        <v xml:space="preserve">     El riesgo afecta la imagen de la entidad con algunos usuarios de relevancia frente al logro de los objetivos</v>
      </c>
      <c r="S15" s="118" t="str">
        <f>IF(OR(R15='Tabla Impacto'!$C$11,R15='Tabla Impacto'!$D$11),"Leve",IF(OR(R15='Tabla Impacto'!$C$12,R15='Tabla Impacto'!$D$12),"Menor",IF(OR(R15='Tabla Impacto'!$C$13,R15='Tabla Impacto'!$D$13),"Moderado",IF(OR(R15='Tabla Impacto'!$C$14,R15='Tabla Impacto'!$D$14),"Mayor",IF(OR(R15='Tabla Impacto'!$C$15,R15='Tabla Impacto'!$D$15),"Catastrófico","")))))</f>
        <v>Moderado</v>
      </c>
      <c r="T15" s="117">
        <f>IF(S15="","",IF(S15="Leve",0.2,IF(S15="Menor",0.4,IF(S15="Moderado",0.6,IF(S15="Mayor",0.8,IF(S15="Catastrófico",1,))))))</f>
        <v>0.6</v>
      </c>
      <c r="U15" s="119" t="str">
        <f>IF(OR(AND(O15="Muy Baja",S15="Leve"),AND(O15="Muy Baja",S15="Menor"),AND(O15="Baja",S15="Leve")),"Bajo",IF(OR(AND(O15="Muy baja",S15="Moderado"),AND(O15="Baja",S15="Menor"),AND(O15="Baja",S15="Moderado"),AND(O15="Media",S15="Leve"),AND(O15="Media",S15="Menor"),AND(O15="Media",S15="Moderado"),AND(O15="Alta",S15="Leve"),AND(O15="Alta",S15="Menor")),"Moderado",IF(OR(AND(O15="Muy Baja",S15="Mayor"),AND(O15="Baja",S15="Mayor"),AND(O15="Media",S15="Mayor"),AND(O15="Alta",S15="Moderado"),AND(O15="Alta",S15="Mayor"),AND(O15="Muy Alta",S15="Leve"),AND(O15="Muy Alta",S15="Menor"),AND(O15="Muy Alta",S15="Moderado"),AND(O15="Muy Alta",S15="Mayor")),"Alto",IF(OR(AND(O15="Muy Baja",S15="Catastrófico"),AND(O15="Baja",S15="Catastrófico"),AND(O15="Media",S15="Catastrófico"),AND(O15="Alta",S15="Catastrófico"),AND(O15="Muy Alta",S15="Catastrófico")),"Extremo",""))))</f>
        <v>Moderado</v>
      </c>
      <c r="V15" s="87">
        <v>1</v>
      </c>
      <c r="W15" s="98" t="s">
        <v>118</v>
      </c>
      <c r="X15" s="88" t="str">
        <f>IF(OR(Y15="Preventivo",Y15="Detectivo"),"Probabilidad",IF(Y15="Correctivo","Impacto",""))</f>
        <v>Probabilidad</v>
      </c>
      <c r="Y15" s="89" t="s">
        <v>119</v>
      </c>
      <c r="Z15" s="89" t="s">
        <v>120</v>
      </c>
      <c r="AA15" s="90">
        <v>0.4</v>
      </c>
      <c r="AB15" s="89" t="s">
        <v>121</v>
      </c>
      <c r="AC15" s="89" t="s">
        <v>122</v>
      </c>
      <c r="AD15" s="89" t="s">
        <v>123</v>
      </c>
      <c r="AE15" s="127">
        <f>IFERROR(IF(X15="Probabilidad",(P15-(+P15*AA15)),IF(X15="Impacto",P15,"")),"")</f>
        <v>0.24</v>
      </c>
      <c r="AF15" s="91" t="str">
        <f>IFERROR(IF(AE15="","",IF(AE15&lt;=0.2,"Muy Baja",IF(AE15&lt;=0.4,"Baja",IF(AE15&lt;=0.6,"Media",IF(AE15&lt;=0.8,"Alta","Muy Alta"))))),"")</f>
        <v>Baja</v>
      </c>
      <c r="AG15" s="92">
        <f>+AE15</f>
        <v>0.24</v>
      </c>
      <c r="AH15" s="91" t="str">
        <f>IFERROR(IF(AI15="","",IF(AI15&lt;=0.2,"Leve",IF(AI15&lt;=0.4,"Menor",IF(AI15&lt;=0.6,"Moderado",IF(AI15&lt;=0.8,"Mayor","Catastrófico"))))),"")</f>
        <v>Moderado</v>
      </c>
      <c r="AI15" s="92">
        <f>IFERROR(IF(X15="Impacto",(T15-(+T15*AA15)),IF(X15="Probabilidad",T15,"")),"")</f>
        <v>0.6</v>
      </c>
      <c r="AJ15" s="93" t="str">
        <f>IFERROR(IF(OR(AND(AF15="Muy Baja",AH15="Leve"),AND(AF15="Muy Baja",AH15="Menor"),AND(AF15="Baja",AH15="Leve")),"Bajo",IF(OR(AND(AF15="Muy baja",AH15="Moderado"),AND(AF15="Baja",AH15="Menor"),AND(AF15="Baja",AH15="Moderado"),AND(AF15="Media",AH15="Leve"),AND(AF15="Media",AH15="Menor"),AND(AF15="Media",AH15="Moderado"),AND(AF15="Alta",AH15="Leve"),AND(AF15="Alta",AH15="Menor")),"Moderado",IF(OR(AND(AF15="Muy Baja",AH15="Mayor"),AND(AF15="Baja",AH15="Mayor"),AND(AF15="Media",AH15="Mayor"),AND(AF15="Alta",AH15="Moderado"),AND(AF15="Alta",AH15="Mayor"),AND(AF15="Muy Alta",AH15="Leve"),AND(AF15="Muy Alta",AH15="Menor"),AND(AF15="Muy Alta",AH15="Moderado"),AND(AF15="Muy Alta",AH15="Mayor")),"Alto",IF(OR(AND(AF15="Muy Baja",AH15="Catastrófico"),AND(AF15="Baja",AH15="Catastrófico"),AND(AF15="Media",AH15="Catastrófico"),AND(AF15="Alta",AH15="Catastrófico"),AND(AF15="Muy Alta",AH15="Catastrófico")),"Extremo","")))),"")</f>
        <v>Moderado</v>
      </c>
      <c r="AK15" s="94" t="s">
        <v>124</v>
      </c>
      <c r="AL15" s="95" t="s">
        <v>125</v>
      </c>
      <c r="AM15" s="95" t="s">
        <v>126</v>
      </c>
      <c r="AN15" s="106" t="s">
        <v>127</v>
      </c>
      <c r="AO15" s="106" t="s">
        <v>128</v>
      </c>
      <c r="AP15" s="95" t="s">
        <v>129</v>
      </c>
      <c r="AQ15" s="96" t="s">
        <v>130</v>
      </c>
      <c r="AR15" s="95" t="s">
        <v>131</v>
      </c>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row>
    <row r="16" spans="1:288" ht="343.5" customHeight="1">
      <c r="A16" s="116" t="s">
        <v>132</v>
      </c>
      <c r="B16" s="86" t="s">
        <v>133</v>
      </c>
      <c r="C16" s="86" t="s">
        <v>134</v>
      </c>
      <c r="D16" s="86" t="s">
        <v>110</v>
      </c>
      <c r="E16" s="115" t="s">
        <v>111</v>
      </c>
      <c r="F16" s="115" t="s">
        <v>135</v>
      </c>
      <c r="G16" s="115" t="s">
        <v>136</v>
      </c>
      <c r="H16" s="103" t="s">
        <v>137</v>
      </c>
      <c r="I16" s="103" t="s">
        <v>115</v>
      </c>
      <c r="J16" s="103" t="s">
        <v>115</v>
      </c>
      <c r="K16" s="103" t="s">
        <v>115</v>
      </c>
      <c r="L16" s="103" t="s">
        <v>115</v>
      </c>
      <c r="M16" s="115" t="s">
        <v>138</v>
      </c>
      <c r="N16" s="120">
        <v>200</v>
      </c>
      <c r="O16" s="118" t="str">
        <f>IF(N16&lt;=0,"",IF(N16&lt;=2,"Muy Baja",IF(N16&lt;=24,"Baja",IF(N16&lt;=500,"Media",IF(N16&lt;=5000,"Alta","Muy Alta")))))</f>
        <v>Media</v>
      </c>
      <c r="P16" s="117">
        <f>IF(O16="","",IF(O16="Muy Baja",0.2,IF(O16="Baja",0.4,IF(O16="Media",0.6,IF(O16="Alta",0.8,IF(O16="Muy Alta",1,))))))</f>
        <v>0.6</v>
      </c>
      <c r="Q16" s="113" t="s">
        <v>117</v>
      </c>
      <c r="R16" s="109" t="str">
        <f>IF(NOT(ISERROR(MATCH(Q16,'Tabla Impacto'!$B$221:$B$223,0))),'Tabla Impacto'!$F$223&amp;"Por favor no seleccionar los criterios de impacto(Afectación Económica o presupuestal y Pérdida Reputacional)",Q16)</f>
        <v xml:space="preserve">     El riesgo afecta la imagen de la entidad con algunos usuarios de relevancia frente al logro de los objetivos</v>
      </c>
      <c r="S16" s="118" t="str">
        <f>IF(OR(R16='Tabla Impacto'!$C$11,R16='Tabla Impacto'!$D$11),"Leve",IF(OR(R16='Tabla Impacto'!$C$12,R16='Tabla Impacto'!$D$12),"Menor",IF(OR(R16='Tabla Impacto'!$C$13,R16='Tabla Impacto'!$D$13),"Moderado",IF(OR(R16='Tabla Impacto'!$C$14,R16='Tabla Impacto'!$D$14),"Mayor",IF(OR(R16='Tabla Impacto'!$C$15,R16='Tabla Impacto'!$D$15),"Catastrófico","")))))</f>
        <v>Moderado</v>
      </c>
      <c r="T16" s="117">
        <f>IF(S16="","",IF(S16="Leve",0.2,IF(S16="Menor",0.4,IF(S16="Moderado",0.6,IF(S16="Mayor",0.8,IF(S16="Catastrófico",1,))))))</f>
        <v>0.6</v>
      </c>
      <c r="U16" s="119" t="str">
        <f>IF(OR(AND(O16="Muy Baja",S16="Leve"),AND(O16="Muy Baja",S16="Menor"),AND(O16="Baja",S16="Leve")),"Bajo",IF(OR(AND(O16="Muy baja",S16="Moderado"),AND(O16="Baja",S16="Menor"),AND(O16="Baja",S16="Moderado"),AND(O16="Media",S16="Leve"),AND(O16="Media",S16="Menor"),AND(O16="Media",S16="Moderado"),AND(O16="Alta",S16="Leve"),AND(O16="Alta",S16="Menor")),"Moderado",IF(OR(AND(O16="Muy Baja",S16="Mayor"),AND(O16="Baja",S16="Mayor"),AND(O16="Media",S16="Mayor"),AND(O16="Alta",S16="Moderado"),AND(O16="Alta",S16="Mayor"),AND(O16="Muy Alta",S16="Leve"),AND(O16="Muy Alta",S16="Menor"),AND(O16="Muy Alta",S16="Moderado"),AND(O16="Muy Alta",S16="Mayor")),"Alto",IF(OR(AND(O16="Muy Baja",S16="Catastrófico"),AND(O16="Baja",S16="Catastrófico"),AND(O16="Media",S16="Catastrófico"),AND(O16="Alta",S16="Catastrófico"),AND(O16="Muy Alta",S16="Catastrófico")),"Extremo",""))))</f>
        <v>Moderado</v>
      </c>
      <c r="V16" s="87">
        <v>1</v>
      </c>
      <c r="W16" s="98" t="s">
        <v>139</v>
      </c>
      <c r="X16" s="88" t="str">
        <f t="shared" ref="X16" si="0">IF(OR(Y16="Preventivo",Y16="Detectivo"),"Probabilidad",IF(Y16="Correctivo","Impacto",""))</f>
        <v>Probabilidad</v>
      </c>
      <c r="Y16" s="89" t="s">
        <v>119</v>
      </c>
      <c r="Z16" s="89" t="s">
        <v>120</v>
      </c>
      <c r="AA16" s="90" t="str">
        <f t="shared" ref="AA16" si="1">IF(AND(Y16="Preventivo",Z16="Automático"),"50%",IF(AND(Y16="Preventivo",Z16="Manual"),"40%",IF(AND(Y16="Detectivo",Z16="Automático"),"40%",IF(AND(Y16="Detectivo",Z16="Manual"),"30%",IF(AND(Y16="Correctivo",Z16="Automático"),"35%",IF(AND(Y16="Correctivo",Z16="Manual"),"25%",""))))))</f>
        <v>40%</v>
      </c>
      <c r="AB16" s="89" t="s">
        <v>121</v>
      </c>
      <c r="AC16" s="89" t="s">
        <v>122</v>
      </c>
      <c r="AD16" s="89" t="s">
        <v>123</v>
      </c>
      <c r="AE16" s="127">
        <f>IFERROR(IF(X16="Probabilidad",(P16-(+P16*AA16)),IF(X16="Impacto",P16,"")),"")</f>
        <v>0.36</v>
      </c>
      <c r="AF16" s="91" t="str">
        <f>IFERROR(IF(AE16="","",IF(AE16&lt;=0.2,"Muy Baja",IF(AE16&lt;=0.4,"Baja",IF(AE16&lt;=0.6,"Media",IF(AE16&lt;=0.8,"Alta","Muy Alta"))))),"")</f>
        <v>Baja</v>
      </c>
      <c r="AG16" s="92">
        <f>+AE16</f>
        <v>0.36</v>
      </c>
      <c r="AH16" s="91" t="str">
        <f t="shared" ref="AH16" si="2">IFERROR(IF(AI16="","",IF(AI16&lt;=0.2,"Leve",IF(AI16&lt;=0.4,"Menor",IF(AI16&lt;=0.6,"Moderado",IF(AI16&lt;=0.8,"Mayor","Catastrófico"))))),"")</f>
        <v>Moderado</v>
      </c>
      <c r="AI16" s="92">
        <f t="shared" ref="AI16" si="3">IFERROR(IF(X16="Impacto",(T16-(+T16*AA16)),IF(X16="Probabilidad",T16,"")),"")</f>
        <v>0.6</v>
      </c>
      <c r="AJ16" s="93" t="str">
        <f t="shared" ref="AJ16" si="4">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Moderado</v>
      </c>
      <c r="AK16" s="94" t="s">
        <v>124</v>
      </c>
      <c r="AL16" s="95" t="s">
        <v>140</v>
      </c>
      <c r="AM16" s="95" t="s">
        <v>141</v>
      </c>
      <c r="AN16" s="106" t="s">
        <v>142</v>
      </c>
      <c r="AO16" s="106" t="s">
        <v>143</v>
      </c>
      <c r="AP16" s="95" t="s">
        <v>144</v>
      </c>
      <c r="AQ16" s="96" t="s">
        <v>145</v>
      </c>
      <c r="AR16" s="95" t="s">
        <v>146</v>
      </c>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ht="63" customHeight="1">
      <c r="A17" s="305" t="s">
        <v>147</v>
      </c>
      <c r="B17" s="315" t="s">
        <v>133</v>
      </c>
      <c r="C17" s="315" t="s">
        <v>134</v>
      </c>
      <c r="D17" s="315" t="s">
        <v>110</v>
      </c>
      <c r="E17" s="280" t="s">
        <v>148</v>
      </c>
      <c r="F17" s="280" t="s">
        <v>149</v>
      </c>
      <c r="G17" s="280" t="s">
        <v>150</v>
      </c>
      <c r="H17" s="317" t="s">
        <v>151</v>
      </c>
      <c r="I17" s="317" t="s">
        <v>115</v>
      </c>
      <c r="J17" s="317" t="s">
        <v>115</v>
      </c>
      <c r="K17" s="317" t="s">
        <v>115</v>
      </c>
      <c r="L17" s="317" t="s">
        <v>115</v>
      </c>
      <c r="M17" s="280" t="s">
        <v>116</v>
      </c>
      <c r="N17" s="275">
        <v>1</v>
      </c>
      <c r="O17" s="298" t="str">
        <f t="shared" ref="O17" si="5">IF(N17&lt;=0,"",IF(N17&lt;=2,"Muy Baja",IF(N17&lt;=24,"Baja",IF(N17&lt;=500,"Media",IF(N17&lt;=5000,"Alta","Muy Alta")))))</f>
        <v>Muy Baja</v>
      </c>
      <c r="P17" s="292">
        <f t="shared" ref="P17" si="6">IF(O17="","",IF(O17="Muy Baja",0.2,IF(O17="Baja",0.4,IF(O17="Media",0.6,IF(O17="Alta",0.8,IF(O17="Muy Alta",1,))))))</f>
        <v>0.2</v>
      </c>
      <c r="Q17" s="313" t="s">
        <v>152</v>
      </c>
      <c r="R17" s="292" t="str">
        <f>IF(NOT(ISERROR(MATCH(Q17,'Tabla Impacto'!$B$221:$B$223,0))),'Tabla Impacto'!$F$223&amp;"Por favor no seleccionar los criterios de impacto(Afectación Económica o presupuestal y Pérdida Reputacional)",Q17)</f>
        <v xml:space="preserve">     El riesgo afecta la imagen de alguna área de la organización</v>
      </c>
      <c r="S17" s="298" t="str">
        <f>IF(OR(R17='Tabla Impacto'!$C$11,R17='Tabla Impacto'!$D$11),"Leve",IF(OR(R17='Tabla Impacto'!$C$12,R17='Tabla Impacto'!$D$12),"Menor",IF(OR(R17='Tabla Impacto'!$C$13,R17='Tabla Impacto'!$D$13),"Moderado",IF(OR(R17='Tabla Impacto'!$C$14,R17='Tabla Impacto'!$D$14),"Mayor",IF(OR(R17='Tabla Impacto'!$C$15,R17='Tabla Impacto'!$D$15),"Catastrófico","")))))</f>
        <v>Leve</v>
      </c>
      <c r="T17" s="292">
        <f t="shared" ref="T17" si="7">IF(S17="","",IF(S17="Leve",0.2,IF(S17="Menor",0.4,IF(S17="Moderado",0.6,IF(S17="Mayor",0.8,IF(S17="Catastrófico",1,))))))</f>
        <v>0.2</v>
      </c>
      <c r="U17" s="294" t="str">
        <f t="shared" ref="U17" si="8">IF(OR(AND(O17="Muy Baja",S17="Leve"),AND(O17="Muy Baja",S17="Menor"),AND(O17="Baja",S17="Leve")),"Bajo",IF(OR(AND(O17="Muy baja",S17="Moderado"),AND(O17="Baja",S17="Menor"),AND(O17="Baja",S17="Moderado"),AND(O17="Media",S17="Leve"),AND(O17="Media",S17="Menor"),AND(O17="Media",S17="Moderado"),AND(O17="Alta",S17="Leve"),AND(O17="Alta",S17="Menor")),"Moderado",IF(OR(AND(O17="Muy Baja",S17="Mayor"),AND(O17="Baja",S17="Mayor"),AND(O17="Media",S17="Mayor"),AND(O17="Alta",S17="Moderado"),AND(O17="Alta",S17="Mayor"),AND(O17="Muy Alta",S17="Leve"),AND(O17="Muy Alta",S17="Menor"),AND(O17="Muy Alta",S17="Moderado"),AND(O17="Muy Alta",S17="Mayor")),"Alto",IF(OR(AND(O17="Muy Baja",S17="Catastrófico"),AND(O17="Baja",S17="Catastrófico"),AND(O17="Media",S17="Catastrófico"),AND(O17="Alta",S17="Catastrófico"),AND(O17="Muy Alta",S17="Catastrófico")),"Extremo",""))))</f>
        <v>Bajo</v>
      </c>
      <c r="V17" s="87">
        <v>1</v>
      </c>
      <c r="W17" s="98" t="s">
        <v>153</v>
      </c>
      <c r="X17" s="88" t="str">
        <f>IF(OR(Y17="Preventivo",Y17="Detectivo"),"Probabilidad",IF(Y17="Correctivo","Impacto",""))</f>
        <v>Probabilidad</v>
      </c>
      <c r="Y17" s="89" t="s">
        <v>119</v>
      </c>
      <c r="Z17" s="89" t="s">
        <v>154</v>
      </c>
      <c r="AA17" s="90" t="str">
        <f>IF(AND(Y17="Preventivo",Z17="Automático"),"50%",IF(AND(Y17="Preventivo",Z17="Manual"),"40%",IF(AND(Y17="Detectivo",Z17="Automático"),"40%",IF(AND(Y17="Detectivo",Z17="Manual"),"30%",IF(AND(Y17="Correctivo",Z17="Automático"),"35%",IF(AND(Y17="Correctivo",Z17="Manual"),"25%",""))))))</f>
        <v>50%</v>
      </c>
      <c r="AB17" s="89" t="s">
        <v>121</v>
      </c>
      <c r="AC17" s="89" t="s">
        <v>155</v>
      </c>
      <c r="AD17" s="89" t="s">
        <v>123</v>
      </c>
      <c r="AE17" s="127">
        <f>IFERROR(IF(X17="Probabilidad",(P17-(+P17*AA17)),IF(X17="Impacto",P17,"")),"")</f>
        <v>0.1</v>
      </c>
      <c r="AF17" s="91" t="str">
        <f>IFERROR(IF(AE17="","",IF(AE17&lt;=0.2,"Muy Baja",IF(AE17&lt;=0.4,"Baja",IF(AE17&lt;=0.6,"Media",IF(AE17&lt;=0.8,"Alta","Muy Alta"))))),"")</f>
        <v>Muy Baja</v>
      </c>
      <c r="AG17" s="92">
        <f>+AE17</f>
        <v>0.1</v>
      </c>
      <c r="AH17" s="91" t="str">
        <f>IFERROR(IF(AI17="","",IF(AI17&lt;=0.2,"Leve",IF(AI17&lt;=0.4,"Menor",IF(AI17&lt;=0.6,"Moderado",IF(AI17&lt;=0.8,"Mayor","Catastrófico"))))),"")</f>
        <v>Leve</v>
      </c>
      <c r="AI17" s="92">
        <f>IFERROR(IF(X17="Impacto",(T17-(+T17*AA17)),IF(X17="Probabilidad",T17,"")),"")</f>
        <v>0.2</v>
      </c>
      <c r="AJ17" s="93" t="str">
        <f>IFERROR(IF(OR(AND(AF17="Muy Baja",AH17="Leve"),AND(AF17="Muy Baja",AH17="Menor"),AND(AF17="Baja",AH17="Leve")),"Bajo",IF(OR(AND(AF17="Muy baja",AH17="Moderado"),AND(AF17="Baja",AH17="Menor"),AND(AF17="Baja",AH17="Moderado"),AND(AF17="Media",AH17="Leve"),AND(AF17="Media",AH17="Menor"),AND(AF17="Media",AH17="Moderado"),AND(AF17="Alta",AH17="Leve"),AND(AF17="Alta",AH17="Menor")),"Moderado",IF(OR(AND(AF17="Muy Baja",AH17="Mayor"),AND(AF17="Baja",AH17="Mayor"),AND(AF17="Media",AH17="Mayor"),AND(AF17="Alta",AH17="Moderado"),AND(AF17="Alta",AH17="Mayor"),AND(AF17="Muy Alta",AH17="Leve"),AND(AF17="Muy Alta",AH17="Menor"),AND(AF17="Muy Alta",AH17="Moderado"),AND(AF17="Muy Alta",AH17="Mayor")),"Alto",IF(OR(AND(AF17="Muy Baja",AH17="Catastrófico"),AND(AF17="Baja",AH17="Catastrófico"),AND(AF17="Media",AH17="Catastrófico"),AND(AF17="Alta",AH17="Catastrófico"),AND(AF17="Muy Alta",AH17="Catastrófico")),"Extremo","")))),"")</f>
        <v>Bajo</v>
      </c>
      <c r="AK17" s="268" t="s">
        <v>156</v>
      </c>
      <c r="AL17" s="280" t="s">
        <v>157</v>
      </c>
      <c r="AM17" s="275" t="s">
        <v>158</v>
      </c>
      <c r="AN17" s="280" t="s">
        <v>158</v>
      </c>
      <c r="AO17" s="275" t="s">
        <v>158</v>
      </c>
      <c r="AP17" s="280" t="s">
        <v>158</v>
      </c>
      <c r="AQ17" s="275" t="s">
        <v>158</v>
      </c>
      <c r="AR17" s="275" t="s">
        <v>158</v>
      </c>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ht="51.75" customHeight="1">
      <c r="A18" s="307"/>
      <c r="B18" s="316"/>
      <c r="C18" s="316"/>
      <c r="D18" s="316"/>
      <c r="E18" s="278"/>
      <c r="F18" s="278"/>
      <c r="G18" s="278"/>
      <c r="H18" s="273"/>
      <c r="I18" s="274"/>
      <c r="J18" s="274"/>
      <c r="K18" s="274"/>
      <c r="L18" s="274"/>
      <c r="M18" s="278"/>
      <c r="N18" s="318"/>
      <c r="O18" s="300"/>
      <c r="P18" s="293"/>
      <c r="Q18" s="319"/>
      <c r="R18" s="293"/>
      <c r="S18" s="300"/>
      <c r="T18" s="293"/>
      <c r="U18" s="295"/>
      <c r="V18" s="87">
        <v>2</v>
      </c>
      <c r="W18" s="98" t="s">
        <v>159</v>
      </c>
      <c r="X18" s="88" t="str">
        <f>IF(OR(Y18="Preventivo",Y18="Detectivo"),"Probabilidad",IF(Y18="Correctivo","Impacto",""))</f>
        <v>Probabilidad</v>
      </c>
      <c r="Y18" s="89" t="s">
        <v>119</v>
      </c>
      <c r="Z18" s="89" t="s">
        <v>154</v>
      </c>
      <c r="AA18" s="90" t="str">
        <f t="shared" ref="AA18" si="9">IF(AND(Y18="Preventivo",Z18="Automático"),"50%",IF(AND(Y18="Preventivo",Z18="Manual"),"40%",IF(AND(Y18="Detectivo",Z18="Automático"),"40%",IF(AND(Y18="Detectivo",Z18="Manual"),"30%",IF(AND(Y18="Correctivo",Z18="Automático"),"35%",IF(AND(Y18="Correctivo",Z18="Manual"),"25%",""))))))</f>
        <v>50%</v>
      </c>
      <c r="AB18" s="89" t="s">
        <v>121</v>
      </c>
      <c r="AC18" s="89" t="s">
        <v>155</v>
      </c>
      <c r="AD18" s="89" t="s">
        <v>123</v>
      </c>
      <c r="AE18" s="127">
        <f>IFERROR(IF(AND(X17="Probabilidad",X18="Probabilidad"),(AG17-(+AG17*AA18)),IF(X18="Probabilidad",(P17-(+P17*AA18)),IF(X18="Impacto",AG17,""))),"")</f>
        <v>0.05</v>
      </c>
      <c r="AF18" s="91" t="str">
        <f t="shared" ref="AF18" si="10">IFERROR(IF(AE18="","",IF(AE18&lt;=0.2,"Muy Baja",IF(AE18&lt;=0.4,"Baja",IF(AE18&lt;=0.6,"Media",IF(AE18&lt;=0.8,"Alta","Muy Alta"))))),"")</f>
        <v>Muy Baja</v>
      </c>
      <c r="AG18" s="92">
        <f t="shared" ref="AG18" si="11">+AE18</f>
        <v>0.05</v>
      </c>
      <c r="AH18" s="91" t="str">
        <f t="shared" ref="AH18" si="12">IFERROR(IF(AI18="","",IF(AI18&lt;=0.2,"Leve",IF(AI18&lt;=0.4,"Menor",IF(AI18&lt;=0.6,"Moderado",IF(AI18&lt;=0.8,"Mayor","Catastrófico"))))),"")</f>
        <v>Leve</v>
      </c>
      <c r="AI18" s="92">
        <f>IFERROR(IF(AND(X17="Impacto",X18="Impacto"),(AI17-(+AI17*AA18)),IF(X18="Impacto",($T$17-(+$T$17*AA18)),IF(X18="Probabilidad",AI17,""))),"")</f>
        <v>0.2</v>
      </c>
      <c r="AJ18" s="93" t="str">
        <f t="shared" ref="AJ18" si="13">IFERROR(IF(OR(AND(AF18="Muy Baja",AH18="Leve"),AND(AF18="Muy Baja",AH18="Menor"),AND(AF18="Baja",AH18="Leve")),"Bajo",IF(OR(AND(AF18="Muy baja",AH18="Moderado"),AND(AF18="Baja",AH18="Menor"),AND(AF18="Baja",AH18="Moderado"),AND(AF18="Media",AH18="Leve"),AND(AF18="Media",AH18="Menor"),AND(AF18="Media",AH18="Moderado"),AND(AF18="Alta",AH18="Leve"),AND(AF18="Alta",AH18="Menor")),"Moderado",IF(OR(AND(AF18="Muy Baja",AH18="Mayor"),AND(AF18="Baja",AH18="Mayor"),AND(AF18="Media",AH18="Mayor"),AND(AF18="Alta",AH18="Moderado"),AND(AF18="Alta",AH18="Mayor"),AND(AF18="Muy Alta",AH18="Leve"),AND(AF18="Muy Alta",AH18="Menor"),AND(AF18="Muy Alta",AH18="Moderado"),AND(AF18="Muy Alta",AH18="Mayor")),"Alto",IF(OR(AND(AF18="Muy Baja",AH18="Catastrófico"),AND(AF18="Baja",AH18="Catastrófico"),AND(AF18="Media",AH18="Catastrófico"),AND(AF18="Alta",AH18="Catastrófico"),AND(AF18="Muy Alta",AH18="Catastrófico")),"Extremo","")))),"")</f>
        <v>Bajo</v>
      </c>
      <c r="AK18" s="269"/>
      <c r="AL18" s="279"/>
      <c r="AM18" s="318"/>
      <c r="AN18" s="279"/>
      <c r="AO18" s="318"/>
      <c r="AP18" s="279"/>
      <c r="AQ18" s="318"/>
      <c r="AR18" s="318"/>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ht="90.75" customHeight="1">
      <c r="A19" s="305" t="s">
        <v>160</v>
      </c>
      <c r="B19" s="315" t="s">
        <v>161</v>
      </c>
      <c r="C19" s="315" t="s">
        <v>162</v>
      </c>
      <c r="D19" s="315" t="s">
        <v>110</v>
      </c>
      <c r="E19" s="280" t="s">
        <v>111</v>
      </c>
      <c r="F19" s="280" t="s">
        <v>163</v>
      </c>
      <c r="G19" s="280" t="s">
        <v>164</v>
      </c>
      <c r="H19" s="317" t="s">
        <v>165</v>
      </c>
      <c r="I19" s="317" t="s">
        <v>115</v>
      </c>
      <c r="J19" s="317" t="s">
        <v>115</v>
      </c>
      <c r="K19" s="317" t="s">
        <v>115</v>
      </c>
      <c r="L19" s="317" t="s">
        <v>115</v>
      </c>
      <c r="M19" s="280" t="s">
        <v>116</v>
      </c>
      <c r="N19" s="275">
        <v>48</v>
      </c>
      <c r="O19" s="298" t="str">
        <f>IF(N19&lt;=0,"",IF(N19&lt;=2,"Muy Baja",IF(N19&lt;=24,"Baja",IF(N19&lt;=500,"Media",IF(N19&lt;=5000,"Alta","Muy Alta")))))</f>
        <v>Media</v>
      </c>
      <c r="P19" s="292">
        <f>IF(O19="","",IF(O19="Muy Baja",0.2,IF(O19="Baja",0.4,IF(O19="Media",0.6,IF(O19="Alta",0.8,IF(O19="Muy Alta",1,))))))</f>
        <v>0.6</v>
      </c>
      <c r="Q19" s="313" t="s">
        <v>166</v>
      </c>
      <c r="R19" s="292" t="str">
        <f>IF(NOT(ISERROR(MATCH(Q19,'Tabla Impacto'!$B$221:$B$223,0))),'Tabla Impacto'!$F$223&amp;"Por favor no seleccionar los criterios de impacto(Afectación Económica o presupuestal y Pérdida Reputacional)",Q19)</f>
        <v xml:space="preserve">     El riesgo afecta la imagen de de la entidad con efecto publicitario sostenido a nivel de sector administrativo, nivel departamental o municipal</v>
      </c>
      <c r="S19" s="298" t="str">
        <f>IF(OR(R19='Tabla Impacto'!$C$11,R19='Tabla Impacto'!$D$11),"Leve",IF(OR(R19='Tabla Impacto'!$C$12,R19='Tabla Impacto'!$D$12),"Menor",IF(OR(R19='Tabla Impacto'!$C$13,R19='Tabla Impacto'!$D$13),"Moderado",IF(OR(R19='Tabla Impacto'!$C$14,R19='Tabla Impacto'!$D$14),"Mayor",IF(OR(R19='Tabla Impacto'!$C$15,R19='Tabla Impacto'!$D$15),"Catastrófico","")))))</f>
        <v>Mayor</v>
      </c>
      <c r="T19" s="292">
        <f>IF(S19="","",IF(S19="Leve",0.2,IF(S19="Menor",0.4,IF(S19="Moderado",0.6,IF(S19="Mayor",0.8,IF(S19="Catastrófico",1,))))))</f>
        <v>0.8</v>
      </c>
      <c r="U19" s="29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Alto</v>
      </c>
      <c r="V19" s="305">
        <v>1</v>
      </c>
      <c r="W19" s="308" t="s">
        <v>167</v>
      </c>
      <c r="X19" s="359" t="str">
        <f>IF(OR(Y19="Preventivo",Y19="Detectivo"),"Probabilidad",IF(Y19="Correctivo","Impacto",""))</f>
        <v>Probabilidad</v>
      </c>
      <c r="Y19" s="268" t="s">
        <v>119</v>
      </c>
      <c r="Z19" s="268" t="s">
        <v>120</v>
      </c>
      <c r="AA19" s="362" t="str">
        <f>IF(AND(Y19="Preventivo",Z19="Automático"),"50%",IF(AND(Y19="Preventivo",Z19="Manual"),"40%",IF(AND(Y19="Detectivo",Z19="Automático"),"40%",IF(AND(Y19="Detectivo",Z19="Manual"),"30%",IF(AND(Y19="Correctivo",Z19="Automático"),"35%",IF(AND(Y19="Correctivo",Z19="Manual"),"25%",""))))))</f>
        <v>40%</v>
      </c>
      <c r="AB19" s="268" t="s">
        <v>121</v>
      </c>
      <c r="AC19" s="268" t="s">
        <v>155</v>
      </c>
      <c r="AD19" s="268" t="s">
        <v>123</v>
      </c>
      <c r="AE19" s="365">
        <f>IFERROR(IF(X19="Probabilidad",(P19-(+P19*AA19)),IF(X19="Impacto",P19,"")),"")</f>
        <v>0.36</v>
      </c>
      <c r="AF19" s="290" t="str">
        <f>IFERROR(IF(AE19="","",IF(AE19&lt;=0.2,"Muy Baja",IF(AE19&lt;=0.4,"Baja",IF(AE19&lt;=0.6,"Media",IF(AE19&lt;=0.8,"Alta","Muy Alta"))))),"")</f>
        <v>Baja</v>
      </c>
      <c r="AG19" s="362">
        <f>+AE19</f>
        <v>0.36</v>
      </c>
      <c r="AH19" s="290" t="str">
        <f>IFERROR(IF(AI19="","",IF(AI19&lt;=0.2,"Leve",IF(AI19&lt;=0.4,"Menor",IF(AI19&lt;=0.6,"Moderado",IF(AI19&lt;=0.8,"Mayor","Catastrófico"))))),"")</f>
        <v>Mayor</v>
      </c>
      <c r="AI19" s="362">
        <f>IFERROR(IF(X19="Impacto",(T19-(+T19*AA19)),IF(X19="Probabilidad",T19,"")),"")</f>
        <v>0.8</v>
      </c>
      <c r="AJ19" s="369"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Alto</v>
      </c>
      <c r="AK19" s="268" t="s">
        <v>124</v>
      </c>
      <c r="AL19" s="95" t="s">
        <v>168</v>
      </c>
      <c r="AM19" s="280" t="s">
        <v>169</v>
      </c>
      <c r="AN19" s="106" t="s">
        <v>170</v>
      </c>
      <c r="AO19" s="106" t="s">
        <v>171</v>
      </c>
      <c r="AP19" s="95" t="s">
        <v>172</v>
      </c>
      <c r="AQ19" s="96" t="s">
        <v>130</v>
      </c>
      <c r="AR19" s="95" t="s">
        <v>173</v>
      </c>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ht="205.5" customHeight="1">
      <c r="A20" s="307"/>
      <c r="B20" s="316"/>
      <c r="C20" s="316"/>
      <c r="D20" s="316"/>
      <c r="E20" s="278"/>
      <c r="F20" s="278"/>
      <c r="G20" s="278"/>
      <c r="H20" s="273"/>
      <c r="I20" s="273"/>
      <c r="J20" s="273"/>
      <c r="K20" s="273"/>
      <c r="L20" s="273"/>
      <c r="M20" s="278"/>
      <c r="N20" s="276"/>
      <c r="O20" s="299"/>
      <c r="P20" s="301"/>
      <c r="Q20" s="314"/>
      <c r="R20" s="301">
        <f>IF(NOT(ISERROR(MATCH(Q20,_xlfn.ANCHORARRAY(H24),0))),#REF!&amp;"Por favor no seleccionar los criterios de impacto",Q20)</f>
        <v>0</v>
      </c>
      <c r="S20" s="299"/>
      <c r="T20" s="301"/>
      <c r="U20" s="302"/>
      <c r="V20" s="307"/>
      <c r="W20" s="309"/>
      <c r="X20" s="360"/>
      <c r="Y20" s="281"/>
      <c r="Z20" s="281"/>
      <c r="AA20" s="363"/>
      <c r="AB20" s="281"/>
      <c r="AC20" s="281"/>
      <c r="AD20" s="281"/>
      <c r="AE20" s="367"/>
      <c r="AF20" s="368"/>
      <c r="AG20" s="363"/>
      <c r="AH20" s="368"/>
      <c r="AI20" s="363"/>
      <c r="AJ20" s="371"/>
      <c r="AK20" s="281"/>
      <c r="AL20" s="95" t="s">
        <v>174</v>
      </c>
      <c r="AM20" s="278"/>
      <c r="AN20" s="106" t="s">
        <v>175</v>
      </c>
      <c r="AO20" s="106" t="s">
        <v>176</v>
      </c>
      <c r="AP20" s="95" t="s">
        <v>177</v>
      </c>
      <c r="AQ20" s="96" t="s">
        <v>130</v>
      </c>
      <c r="AR20" s="95" t="s">
        <v>178</v>
      </c>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ht="154.5" customHeight="1">
      <c r="A21" s="307"/>
      <c r="B21" s="316"/>
      <c r="C21" s="316"/>
      <c r="D21" s="316"/>
      <c r="E21" s="278"/>
      <c r="F21" s="278"/>
      <c r="G21" s="278"/>
      <c r="H21" s="273"/>
      <c r="I21" s="273"/>
      <c r="J21" s="273"/>
      <c r="K21" s="273"/>
      <c r="L21" s="273"/>
      <c r="M21" s="278"/>
      <c r="N21" s="276"/>
      <c r="O21" s="299"/>
      <c r="P21" s="301"/>
      <c r="Q21" s="314"/>
      <c r="R21" s="301">
        <f>IF(NOT(ISERROR(MATCH(Q21,_xlfn.ANCHORARRAY(#REF!),0))),#REF!&amp;"Por favor no seleccionar los criterios de impacto",Q21)</f>
        <v>0</v>
      </c>
      <c r="S21" s="299"/>
      <c r="T21" s="301"/>
      <c r="U21" s="302"/>
      <c r="V21" s="307"/>
      <c r="W21" s="309"/>
      <c r="X21" s="360"/>
      <c r="Y21" s="281"/>
      <c r="Z21" s="281"/>
      <c r="AA21" s="363"/>
      <c r="AB21" s="281"/>
      <c r="AC21" s="281"/>
      <c r="AD21" s="281"/>
      <c r="AE21" s="367"/>
      <c r="AF21" s="368"/>
      <c r="AG21" s="363"/>
      <c r="AH21" s="368"/>
      <c r="AI21" s="363"/>
      <c r="AJ21" s="371"/>
      <c r="AK21" s="281"/>
      <c r="AL21" s="95" t="s">
        <v>179</v>
      </c>
      <c r="AM21" s="278"/>
      <c r="AN21" s="106" t="s">
        <v>180</v>
      </c>
      <c r="AO21" s="106" t="s">
        <v>176</v>
      </c>
      <c r="AP21" s="95" t="s">
        <v>181</v>
      </c>
      <c r="AQ21" s="183" t="s">
        <v>130</v>
      </c>
      <c r="AR21" s="95" t="s">
        <v>182</v>
      </c>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ht="89.25" customHeight="1">
      <c r="A22" s="307"/>
      <c r="B22" s="316"/>
      <c r="C22" s="316"/>
      <c r="D22" s="316"/>
      <c r="E22" s="278"/>
      <c r="F22" s="278"/>
      <c r="G22" s="278"/>
      <c r="H22" s="273"/>
      <c r="I22" s="274"/>
      <c r="J22" s="274"/>
      <c r="K22" s="274"/>
      <c r="L22" s="274"/>
      <c r="M22" s="278"/>
      <c r="N22" s="276"/>
      <c r="O22" s="299"/>
      <c r="P22" s="301"/>
      <c r="Q22" s="314"/>
      <c r="R22" s="301">
        <f>IF(NOT(ISERROR(MATCH(Q22,_xlfn.ANCHORARRAY(#REF!),0))),#REF!&amp;"Por favor no seleccionar los criterios de impacto",Q22)</f>
        <v>0</v>
      </c>
      <c r="S22" s="299"/>
      <c r="T22" s="301"/>
      <c r="U22" s="302"/>
      <c r="V22" s="306"/>
      <c r="W22" s="310"/>
      <c r="X22" s="361"/>
      <c r="Y22" s="269"/>
      <c r="Z22" s="269"/>
      <c r="AA22" s="364"/>
      <c r="AB22" s="269"/>
      <c r="AC22" s="269"/>
      <c r="AD22" s="269"/>
      <c r="AE22" s="366"/>
      <c r="AF22" s="291"/>
      <c r="AG22" s="364"/>
      <c r="AH22" s="291"/>
      <c r="AI22" s="364"/>
      <c r="AJ22" s="370"/>
      <c r="AK22" s="269"/>
      <c r="AL22" s="95" t="s">
        <v>183</v>
      </c>
      <c r="AM22" s="279"/>
      <c r="AN22" s="106" t="s">
        <v>184</v>
      </c>
      <c r="AO22" s="106" t="s">
        <v>185</v>
      </c>
      <c r="AP22" s="95" t="s">
        <v>186</v>
      </c>
      <c r="AQ22" s="96" t="s">
        <v>130</v>
      </c>
      <c r="AR22" s="95" t="s">
        <v>187</v>
      </c>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ht="156" customHeight="1">
      <c r="A23" s="116" t="s">
        <v>188</v>
      </c>
      <c r="B23" s="86" t="s">
        <v>189</v>
      </c>
      <c r="C23" s="86" t="s">
        <v>190</v>
      </c>
      <c r="D23" s="86" t="s">
        <v>110</v>
      </c>
      <c r="E23" s="115" t="s">
        <v>148</v>
      </c>
      <c r="F23" s="115" t="s">
        <v>191</v>
      </c>
      <c r="G23" s="115" t="s">
        <v>192</v>
      </c>
      <c r="H23" s="103" t="s">
        <v>193</v>
      </c>
      <c r="I23" s="103" t="s">
        <v>115</v>
      </c>
      <c r="J23" s="103" t="s">
        <v>115</v>
      </c>
      <c r="K23" s="103" t="s">
        <v>115</v>
      </c>
      <c r="L23" s="103" t="s">
        <v>115</v>
      </c>
      <c r="M23" s="115" t="s">
        <v>116</v>
      </c>
      <c r="N23" s="120">
        <v>41</v>
      </c>
      <c r="O23" s="118" t="str">
        <f>IF(N23&lt;=0,"",IF(N23&lt;=2,"Muy Baja",IF(N23&lt;=24,"Baja",IF(N23&lt;=500,"Media",IF(N23&lt;=5000,"Alta","Muy Alta")))))</f>
        <v>Media</v>
      </c>
      <c r="P23" s="117">
        <f>IF(O23="","",IF(O23="Muy Baja",0.2,IF(O23="Baja",0.4,IF(O23="Media",0.6,IF(O23="Alta",0.8,IF(O23="Muy Alta",1,))))))</f>
        <v>0.6</v>
      </c>
      <c r="Q23" s="192" t="s">
        <v>152</v>
      </c>
      <c r="R23" s="117" t="str">
        <f>IF(NOT(ISERROR(MATCH(Q23,'Tabla Impacto'!$B$221:$B$223,0))),'Tabla Impacto'!$F$223&amp;"Por favor no seleccionar los criterios de impacto(Afectación Económica o presupuestal y Pérdida Reputacional)",Q23)</f>
        <v xml:space="preserve">     El riesgo afecta la imagen de alguna área de la organización</v>
      </c>
      <c r="S23" s="118" t="str">
        <f>IF(OR(R23='Tabla Impacto'!$C$11,R23='Tabla Impacto'!$D$11),"Leve",IF(OR(R23='Tabla Impacto'!$C$12,R23='Tabla Impacto'!$D$12),"Menor",IF(OR(R23='Tabla Impacto'!$C$13,R23='Tabla Impacto'!$D$13),"Moderado",IF(OR(R23='Tabla Impacto'!$C$14,R23='Tabla Impacto'!$D$14),"Mayor",IF(OR(R23='Tabla Impacto'!$C$15,R23='Tabla Impacto'!$D$15),"Catastrófico","")))))</f>
        <v>Leve</v>
      </c>
      <c r="T23" s="117">
        <f>IF(S23="","",IF(S23="Leve",0.2,IF(S23="Menor",0.4,IF(S23="Moderado",0.6,IF(S23="Mayor",0.8,IF(S23="Catastrófico",1,))))))</f>
        <v>0.2</v>
      </c>
      <c r="U23" s="119" t="str">
        <f>IF(OR(AND(O23="Muy Baja",S23="Leve"),AND(O23="Muy Baja",S23="Menor"),AND(O23="Baja",S23="Leve")),"Bajo",IF(OR(AND(O23="Muy baja",S23="Moderado"),AND(O23="Baja",S23="Menor"),AND(O23="Baja",S23="Moderado"),AND(O23="Media",S23="Leve"),AND(O23="Media",S23="Menor"),AND(O23="Media",S23="Moderado"),AND(O23="Alta",S23="Leve"),AND(O23="Alta",S23="Menor")),"Moderado",IF(OR(AND(O23="Muy Baja",S23="Mayor"),AND(O23="Baja",S23="Mayor"),AND(O23="Media",S23="Mayor"),AND(O23="Alta",S23="Moderado"),AND(O23="Alta",S23="Mayor"),AND(O23="Muy Alta",S23="Leve"),AND(O23="Muy Alta",S23="Menor"),AND(O23="Muy Alta",S23="Moderado"),AND(O23="Muy Alta",S23="Mayor")),"Alto",IF(OR(AND(O23="Muy Baja",S23="Catastrófico"),AND(O23="Baja",S23="Catastrófico"),AND(O23="Media",S23="Catastrófico"),AND(O23="Alta",S23="Catastrófico"),AND(O23="Muy Alta",S23="Catastrófico")),"Extremo",""))))</f>
        <v>Moderado</v>
      </c>
      <c r="V23" s="116">
        <v>1</v>
      </c>
      <c r="W23" s="110" t="s">
        <v>194</v>
      </c>
      <c r="X23" s="190" t="str">
        <f t="shared" ref="X23" si="14">IF(OR(Y23="Preventivo",Y23="Detectivo"),"Probabilidad",IF(Y23="Correctivo","Impacto",""))</f>
        <v>Probabilidad</v>
      </c>
      <c r="Y23" s="94" t="s">
        <v>119</v>
      </c>
      <c r="Z23" s="94" t="s">
        <v>120</v>
      </c>
      <c r="AA23" s="92" t="str">
        <f t="shared" ref="AA23" si="15">IF(AND(Y23="Preventivo",Z23="Automático"),"50%",IF(AND(Y23="Preventivo",Z23="Manual"),"40%",IF(AND(Y23="Detectivo",Z23="Automático"),"40%",IF(AND(Y23="Detectivo",Z23="Manual"),"30%",IF(AND(Y23="Correctivo",Z23="Automático"),"35%",IF(AND(Y23="Correctivo",Z23="Manual"),"25%",""))))))</f>
        <v>40%</v>
      </c>
      <c r="AB23" s="94" t="s">
        <v>121</v>
      </c>
      <c r="AC23" s="94" t="s">
        <v>155</v>
      </c>
      <c r="AD23" s="94" t="s">
        <v>123</v>
      </c>
      <c r="AE23" s="193">
        <f t="shared" ref="AE23" si="16">IFERROR(IF(X23="Probabilidad",(P23-(+P23*AA23)),IF(X23="Impacto",P23,"")),"")</f>
        <v>0.36</v>
      </c>
      <c r="AF23" s="188" t="str">
        <f t="shared" ref="AF23" si="17">IFERROR(IF(AE23="","",IF(AE23&lt;=0.2,"Muy Baja",IF(AE23&lt;=0.4,"Baja",IF(AE23&lt;=0.6,"Media",IF(AE23&lt;=0.8,"Alta","Muy Alta"))))),"")</f>
        <v>Baja</v>
      </c>
      <c r="AG23" s="92">
        <f t="shared" ref="AG23" si="18">+AE23</f>
        <v>0.36</v>
      </c>
      <c r="AH23" s="188" t="str">
        <f t="shared" ref="AH23" si="19">IFERROR(IF(AI23="","",IF(AI23&lt;=0.2,"Leve",IF(AI23&lt;=0.4,"Menor",IF(AI23&lt;=0.6,"Moderado",IF(AI23&lt;=0.8,"Mayor","Catastrófico"))))),"")</f>
        <v>Leve</v>
      </c>
      <c r="AI23" s="92">
        <f t="shared" ref="AI23" si="20">IFERROR(IF(X23="Impacto",(T23-(+T23*AA23)),IF(X23="Probabilidad",T23,"")),"")</f>
        <v>0.2</v>
      </c>
      <c r="AJ23" s="186" t="str">
        <f t="shared" ref="AJ23" si="21">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Bajo</v>
      </c>
      <c r="AK23" s="94" t="s">
        <v>156</v>
      </c>
      <c r="AL23" s="95" t="s">
        <v>195</v>
      </c>
      <c r="AM23" s="115" t="s">
        <v>158</v>
      </c>
      <c r="AN23" s="106" t="s">
        <v>158</v>
      </c>
      <c r="AO23" s="106" t="s">
        <v>158</v>
      </c>
      <c r="AP23" s="95" t="s">
        <v>158</v>
      </c>
      <c r="AQ23" s="96"/>
      <c r="AR23" s="95" t="s">
        <v>158</v>
      </c>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ht="240" customHeight="1">
      <c r="A24" s="116" t="s">
        <v>196</v>
      </c>
      <c r="B24" s="116" t="s">
        <v>197</v>
      </c>
      <c r="C24" s="86" t="s">
        <v>198</v>
      </c>
      <c r="D24" s="86" t="s">
        <v>110</v>
      </c>
      <c r="E24" s="115" t="s">
        <v>148</v>
      </c>
      <c r="F24" s="115" t="s">
        <v>199</v>
      </c>
      <c r="G24" s="115" t="s">
        <v>200</v>
      </c>
      <c r="H24" s="103" t="s">
        <v>201</v>
      </c>
      <c r="I24" s="103" t="s">
        <v>115</v>
      </c>
      <c r="J24" s="103" t="s">
        <v>115</v>
      </c>
      <c r="K24" s="103" t="s">
        <v>115</v>
      </c>
      <c r="L24" s="103" t="s">
        <v>115</v>
      </c>
      <c r="M24" s="115" t="s">
        <v>116</v>
      </c>
      <c r="N24" s="120">
        <v>24</v>
      </c>
      <c r="O24" s="118" t="str">
        <f t="shared" ref="O24" si="22">IF(N24&lt;=0,"",IF(N24&lt;=2,"Muy Baja",IF(N24&lt;=24,"Baja",IF(N24&lt;=500,"Media",IF(N24&lt;=5000,"Alta","Muy Alta")))))</f>
        <v>Baja</v>
      </c>
      <c r="P24" s="117">
        <f t="shared" ref="P24" si="23">IF(O24="","",IF(O24="Muy Baja",0.2,IF(O24="Baja",0.4,IF(O24="Media",0.6,IF(O24="Alta",0.8,IF(O24="Muy Alta",1,))))))</f>
        <v>0.4</v>
      </c>
      <c r="Q24" s="192" t="s">
        <v>117</v>
      </c>
      <c r="R24" s="117" t="str">
        <f>IF(NOT(ISERROR(MATCH(Q24,'Tabla Impacto'!$B$221:$B$223,0))),'Tabla Impacto'!$F$223&amp;"Por favor no seleccionar los criterios de impacto(Afectación Económica o presupuestal y Pérdida Reputacional)",Q24)</f>
        <v xml:space="preserve">     El riesgo afecta la imagen de la entidad con algunos usuarios de relevancia frente al logro de los objetivos</v>
      </c>
      <c r="S24" s="118" t="str">
        <f>IF(OR(R24='Tabla Impacto'!$C$11,R24='Tabla Impacto'!$D$11),"Leve",IF(OR(R24='Tabla Impacto'!$C$12,R24='Tabla Impacto'!$D$12),"Menor",IF(OR(R24='Tabla Impacto'!$C$13,R24='Tabla Impacto'!$D$13),"Moderado",IF(OR(R24='Tabla Impacto'!$C$14,R24='Tabla Impacto'!$D$14),"Mayor",IF(OR(R24='Tabla Impacto'!$C$15,R24='Tabla Impacto'!$D$15),"Catastrófico","")))))</f>
        <v>Moderado</v>
      </c>
      <c r="T24" s="117">
        <f t="shared" ref="T24" si="24">IF(S24="","",IF(S24="Leve",0.2,IF(S24="Menor",0.4,IF(S24="Moderado",0.6,IF(S24="Mayor",0.8,IF(S24="Catastrófico",1,))))))</f>
        <v>0.6</v>
      </c>
      <c r="U24" s="119" t="str">
        <f t="shared" ref="U24" si="25">IF(OR(AND(O24="Muy Baja",S24="Leve"),AND(O24="Muy Baja",S24="Menor"),AND(O24="Baja",S24="Leve")),"Bajo",IF(OR(AND(O24="Muy baja",S24="Moderado"),AND(O24="Baja",S24="Menor"),AND(O24="Baja",S24="Moderado"),AND(O24="Media",S24="Leve"),AND(O24="Media",S24="Menor"),AND(O24="Media",S24="Moderado"),AND(O24="Alta",S24="Leve"),AND(O24="Alta",S24="Menor")),"Moderado",IF(OR(AND(O24="Muy Baja",S24="Mayor"),AND(O24="Baja",S24="Mayor"),AND(O24="Media",S24="Mayor"),AND(O24="Alta",S24="Moderado"),AND(O24="Alta",S24="Mayor"),AND(O24="Muy Alta",S24="Leve"),AND(O24="Muy Alta",S24="Menor"),AND(O24="Muy Alta",S24="Moderado"),AND(O24="Muy Alta",S24="Mayor")),"Alto",IF(OR(AND(O24="Muy Baja",S24="Catastrófico"),AND(O24="Baja",S24="Catastrófico"),AND(O24="Media",S24="Catastrófico"),AND(O24="Alta",S24="Catastrófico"),AND(O24="Muy Alta",S24="Catastrófico")),"Extremo",""))))</f>
        <v>Moderado</v>
      </c>
      <c r="V24" s="116">
        <v>1</v>
      </c>
      <c r="W24" s="110" t="s">
        <v>202</v>
      </c>
      <c r="X24" s="190" t="str">
        <f t="shared" ref="X24:X30" si="26">IF(OR(Y24="Preventivo",Y24="Detectivo"),"Probabilidad",IF(Y24="Correctivo","Impacto",""))</f>
        <v>Probabilidad</v>
      </c>
      <c r="Y24" s="94" t="s">
        <v>119</v>
      </c>
      <c r="Z24" s="94" t="s">
        <v>120</v>
      </c>
      <c r="AA24" s="92" t="str">
        <f>IF(AND(Y24="Preventivo",Z24="Automático"),"50%",IF(AND(Y24="Preventivo",Z24="Manual"),"40%",IF(AND(Y24="Detectivo",Z24="Automático"),"40%",IF(AND(Y24="Detectivo",Z24="Manual"),"30%",IF(AND(Y24="Correctivo",Z24="Automático"),"35%",IF(AND(Y24="Correctivo",Z24="Manual"),"25%",""))))))</f>
        <v>40%</v>
      </c>
      <c r="AB24" s="94" t="s">
        <v>121</v>
      </c>
      <c r="AC24" s="94" t="s">
        <v>122</v>
      </c>
      <c r="AD24" s="94" t="s">
        <v>123</v>
      </c>
      <c r="AE24" s="193">
        <f>IFERROR(IF(X24="Probabilidad",(P24-(+P24*AA24)),IF(X24="Impacto",P24,"")),"")</f>
        <v>0.24</v>
      </c>
      <c r="AF24" s="188" t="str">
        <f>IFERROR(IF(AE24="","",IF(AE24&lt;=0.2,"Muy Baja",IF(AE24&lt;=0.4,"Baja",IF(AE24&lt;=0.6,"Media",IF(AE24&lt;=0.8,"Alta","Muy Alta"))))),"")</f>
        <v>Baja</v>
      </c>
      <c r="AG24" s="92">
        <f>+AE24</f>
        <v>0.24</v>
      </c>
      <c r="AH24" s="188" t="str">
        <f>IFERROR(IF(AI24="","",IF(AI24&lt;=0.2,"Leve",IF(AI24&lt;=0.4,"Menor",IF(AI24&lt;=0.6,"Moderado",IF(AI24&lt;=0.8,"Mayor","Catastrófico"))))),"")</f>
        <v>Moderado</v>
      </c>
      <c r="AI24" s="92">
        <f>IFERROR(IF(X24="Impacto",(T24-(+T24*AA24)),IF(X24="Probabilidad",T24,"")),"")</f>
        <v>0.6</v>
      </c>
      <c r="AJ24" s="186" t="str">
        <f>IFERROR(IF(OR(AND(AF24="Muy Baja",AH24="Leve"),AND(AF24="Muy Baja",AH24="Menor"),AND(AF24="Baja",AH24="Leve")),"Bajo",IF(OR(AND(AF24="Muy baja",AH24="Moderado"),AND(AF24="Baja",AH24="Menor"),AND(AF24="Baja",AH24="Moderado"),AND(AF24="Media",AH24="Leve"),AND(AF24="Media",AH24="Menor"),AND(AF24="Media",AH24="Moderado"),AND(AF24="Alta",AH24="Leve"),AND(AF24="Alta",AH24="Menor")),"Moderado",IF(OR(AND(AF24="Muy Baja",AH24="Mayor"),AND(AF24="Baja",AH24="Mayor"),AND(AF24="Media",AH24="Mayor"),AND(AF24="Alta",AH24="Moderado"),AND(AF24="Alta",AH24="Mayor"),AND(AF24="Muy Alta",AH24="Leve"),AND(AF24="Muy Alta",AH24="Menor"),AND(AF24="Muy Alta",AH24="Moderado"),AND(AF24="Muy Alta",AH24="Mayor")),"Alto",IF(OR(AND(AF24="Muy Baja",AH24="Catastrófico"),AND(AF24="Baja",AH24="Catastrófico"),AND(AF24="Media",AH24="Catastrófico"),AND(AF24="Alta",AH24="Catastrófico"),AND(AF24="Muy Alta",AH24="Catastrófico")),"Extremo","")))),"")</f>
        <v>Moderado</v>
      </c>
      <c r="AK24" s="94" t="s">
        <v>124</v>
      </c>
      <c r="AL24" s="95" t="s">
        <v>203</v>
      </c>
      <c r="AM24" s="115" t="s">
        <v>204</v>
      </c>
      <c r="AN24" s="106" t="s">
        <v>205</v>
      </c>
      <c r="AO24" s="106" t="s">
        <v>206</v>
      </c>
      <c r="AP24" s="95" t="s">
        <v>207</v>
      </c>
      <c r="AQ24" s="96" t="s">
        <v>130</v>
      </c>
      <c r="AR24" s="95" t="s">
        <v>208</v>
      </c>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ht="137.25" customHeight="1">
      <c r="A25" s="305" t="s">
        <v>209</v>
      </c>
      <c r="B25" s="305" t="s">
        <v>197</v>
      </c>
      <c r="C25" s="315" t="s">
        <v>198</v>
      </c>
      <c r="D25" s="315" t="s">
        <v>110</v>
      </c>
      <c r="E25" s="280" t="s">
        <v>148</v>
      </c>
      <c r="F25" s="280" t="s">
        <v>210</v>
      </c>
      <c r="G25" s="280" t="s">
        <v>211</v>
      </c>
      <c r="H25" s="317" t="s">
        <v>212</v>
      </c>
      <c r="I25" s="317" t="s">
        <v>115</v>
      </c>
      <c r="J25" s="317" t="s">
        <v>115</v>
      </c>
      <c r="K25" s="317" t="s">
        <v>115</v>
      </c>
      <c r="L25" s="317" t="s">
        <v>115</v>
      </c>
      <c r="M25" s="280" t="s">
        <v>116</v>
      </c>
      <c r="N25" s="275">
        <v>300</v>
      </c>
      <c r="O25" s="298" t="str">
        <f>IF(N25&lt;=0,"",IF(N25&lt;=2,"Muy Baja",IF(N25&lt;=24,"Baja",IF(N25&lt;=500,"Media",IF(N25&lt;=5000,"Alta","Muy Alta")))))</f>
        <v>Media</v>
      </c>
      <c r="P25" s="292">
        <f>IF(O25="","",IF(O25="Muy Baja",0.2,IF(O25="Baja",0.4,IF(O25="Media",0.6,IF(O25="Alta",0.8,IF(O25="Muy Alta",1,))))))</f>
        <v>0.6</v>
      </c>
      <c r="Q25" s="313" t="s">
        <v>117</v>
      </c>
      <c r="R25" s="292" t="str">
        <f>IF(NOT(ISERROR(MATCH(Q25,'Tabla Impacto'!$B$221:$B$223,0))),'Tabla Impacto'!$F$223&amp;"Por favor no seleccionar los criterios de impacto(Afectación Económica o presupuestal y Pérdida Reputacional)",Q25)</f>
        <v xml:space="preserve">     El riesgo afecta la imagen de la entidad con algunos usuarios de relevancia frente al logro de los objetivos</v>
      </c>
      <c r="S25" s="298" t="str">
        <f>IF(OR(R25='Tabla Impacto'!$C$11,R25='Tabla Impacto'!$D$11),"Leve",IF(OR(R25='Tabla Impacto'!$C$12,R25='Tabla Impacto'!$D$12),"Menor",IF(OR(R25='Tabla Impacto'!$C$13,R25='Tabla Impacto'!$D$13),"Moderado",IF(OR(R25='Tabla Impacto'!$C$14,R25='Tabla Impacto'!$D$14),"Mayor",IF(OR(R25='Tabla Impacto'!$C$15,R25='Tabla Impacto'!$D$15),"Catastrófico","")))))</f>
        <v>Moderado</v>
      </c>
      <c r="T25" s="292">
        <f>IF(S25="","",IF(S25="Leve",0.2,IF(S25="Menor",0.4,IF(S25="Moderado",0.6,IF(S25="Mayor",0.8,IF(S25="Catastrófico",1,))))))</f>
        <v>0.6</v>
      </c>
      <c r="U25" s="29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Moderado</v>
      </c>
      <c r="V25" s="305">
        <v>1</v>
      </c>
      <c r="W25" s="308" t="s">
        <v>213</v>
      </c>
      <c r="X25" s="359" t="str">
        <f t="shared" si="26"/>
        <v>Probabilidad</v>
      </c>
      <c r="Y25" s="268" t="s">
        <v>119</v>
      </c>
      <c r="Z25" s="268" t="s">
        <v>120</v>
      </c>
      <c r="AA25" s="362" t="str">
        <f>IF(AND(Y25="Preventivo",Z25="Automático"),"50%",IF(AND(Y25="Preventivo",Z25="Manual"),"40%",IF(AND(Y25="Detectivo",Z25="Automático"),"40%",IF(AND(Y25="Detectivo",Z25="Manual"),"30%",IF(AND(Y25="Correctivo",Z25="Automático"),"35%",IF(AND(Y25="Correctivo",Z25="Manual"),"25%",""))))))</f>
        <v>40%</v>
      </c>
      <c r="AB25" s="268" t="s">
        <v>121</v>
      </c>
      <c r="AC25" s="268" t="s">
        <v>122</v>
      </c>
      <c r="AD25" s="268" t="s">
        <v>123</v>
      </c>
      <c r="AE25" s="365">
        <f>IFERROR(IF(X25="Probabilidad",(P25-(+P25*AA25)),IF(X25="Impacto",P25,"")),"")</f>
        <v>0.36</v>
      </c>
      <c r="AF25" s="290" t="str">
        <f>IFERROR(IF(AE25="","",IF(AE25&lt;=0.2,"Muy Baja",IF(AE25&lt;=0.4,"Baja",IF(AE25&lt;=0.6,"Media",IF(AE25&lt;=0.8,"Alta","Muy Alta"))))),"")</f>
        <v>Baja</v>
      </c>
      <c r="AG25" s="362">
        <f>+AE25</f>
        <v>0.36</v>
      </c>
      <c r="AH25" s="290" t="str">
        <f>IFERROR(IF(AI25="","",IF(AI25&lt;=0.2,"Leve",IF(AI25&lt;=0.4,"Menor",IF(AI25&lt;=0.6,"Moderado",IF(AI25&lt;=0.8,"Mayor","Catastrófico"))))),"")</f>
        <v>Moderado</v>
      </c>
      <c r="AI25" s="362">
        <f>IFERROR(IF(X25="Impacto",(T25-(+T25*AA25)),IF(X25="Probabilidad",T25,"")),"")</f>
        <v>0.6</v>
      </c>
      <c r="AJ25" s="369"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Moderado</v>
      </c>
      <c r="AK25" s="268" t="s">
        <v>124</v>
      </c>
      <c r="AL25" s="95" t="s">
        <v>214</v>
      </c>
      <c r="AM25" s="106" t="s">
        <v>215</v>
      </c>
      <c r="AN25" s="106" t="s">
        <v>216</v>
      </c>
      <c r="AO25" s="106" t="s">
        <v>206</v>
      </c>
      <c r="AP25" s="95" t="s">
        <v>217</v>
      </c>
      <c r="AQ25" s="96" t="s">
        <v>130</v>
      </c>
      <c r="AR25" s="95" t="s">
        <v>218</v>
      </c>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ht="116.25" customHeight="1">
      <c r="A26" s="307"/>
      <c r="B26" s="307"/>
      <c r="C26" s="316"/>
      <c r="D26" s="316"/>
      <c r="E26" s="278"/>
      <c r="F26" s="278"/>
      <c r="G26" s="278"/>
      <c r="H26" s="273"/>
      <c r="I26" s="274"/>
      <c r="J26" s="274"/>
      <c r="K26" s="274"/>
      <c r="L26" s="274"/>
      <c r="M26" s="278"/>
      <c r="N26" s="276"/>
      <c r="O26" s="299"/>
      <c r="P26" s="301"/>
      <c r="Q26" s="314"/>
      <c r="R26" s="301">
        <f>IF(NOT(ISERROR(MATCH(Q26,_xlfn.ANCHORARRAY(H29),0))),#REF!&amp;"Por favor no seleccionar los criterios de impacto",Q26)</f>
        <v>0</v>
      </c>
      <c r="S26" s="299"/>
      <c r="T26" s="301"/>
      <c r="U26" s="302"/>
      <c r="V26" s="306"/>
      <c r="W26" s="310"/>
      <c r="X26" s="361"/>
      <c r="Y26" s="269"/>
      <c r="Z26" s="269"/>
      <c r="AA26" s="364"/>
      <c r="AB26" s="269"/>
      <c r="AC26" s="269"/>
      <c r="AD26" s="269"/>
      <c r="AE26" s="366"/>
      <c r="AF26" s="291"/>
      <c r="AG26" s="364"/>
      <c r="AH26" s="291"/>
      <c r="AI26" s="364"/>
      <c r="AJ26" s="370"/>
      <c r="AK26" s="269"/>
      <c r="AL26" s="95" t="s">
        <v>219</v>
      </c>
      <c r="AM26" s="195" t="s">
        <v>220</v>
      </c>
      <c r="AN26" s="106" t="s">
        <v>221</v>
      </c>
      <c r="AO26" s="106" t="s">
        <v>206</v>
      </c>
      <c r="AP26" s="106" t="s">
        <v>222</v>
      </c>
      <c r="AQ26" s="96" t="s">
        <v>130</v>
      </c>
      <c r="AR26" s="95" t="s">
        <v>223</v>
      </c>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row>
    <row r="27" spans="1:75" ht="72.75" customHeight="1">
      <c r="A27" s="305" t="s">
        <v>224</v>
      </c>
      <c r="B27" s="305" t="s">
        <v>197</v>
      </c>
      <c r="C27" s="315" t="s">
        <v>198</v>
      </c>
      <c r="D27" s="315" t="s">
        <v>110</v>
      </c>
      <c r="E27" s="280" t="s">
        <v>148</v>
      </c>
      <c r="F27" s="280" t="s">
        <v>225</v>
      </c>
      <c r="G27" s="280" t="s">
        <v>226</v>
      </c>
      <c r="H27" s="317" t="s">
        <v>227</v>
      </c>
      <c r="I27" s="317" t="s">
        <v>115</v>
      </c>
      <c r="J27" s="317" t="s">
        <v>115</v>
      </c>
      <c r="K27" s="317" t="s">
        <v>115</v>
      </c>
      <c r="L27" s="317" t="s">
        <v>115</v>
      </c>
      <c r="M27" s="280" t="s">
        <v>116</v>
      </c>
      <c r="N27" s="275">
        <v>24</v>
      </c>
      <c r="O27" s="298" t="str">
        <f>IF(N27&lt;=0,"",IF(N27&lt;=2,"Muy Baja",IF(N27&lt;=24,"Baja",IF(N27&lt;=500,"Media",IF(N27&lt;=5000,"Alta","Muy Alta")))))</f>
        <v>Baja</v>
      </c>
      <c r="P27" s="292">
        <f>IF(O27="","",IF(O27="Muy Baja",0.2,IF(O27="Baja",0.4,IF(O27="Media",0.6,IF(O27="Alta",0.8,IF(O27="Muy Alta",1,))))))</f>
        <v>0.4</v>
      </c>
      <c r="Q27" s="313" t="s">
        <v>228</v>
      </c>
      <c r="R27" s="292" t="str">
        <f>IF(NOT(ISERROR(MATCH(Q27,'Tabla Impacto'!$B$221:$B$223,0))),'Tabla Impacto'!$F$223&amp;"Por favor no seleccionar los criterios de impacto(Afectación Económica o presupuestal y Pérdida Reputacional)",Q27)</f>
        <v xml:space="preserve">     El riesgo afecta la imagen de la entidad internamente, de conocimiento general, nivel interno, de junta dircetiva y accionistas y/o de provedores</v>
      </c>
      <c r="S27" s="298" t="str">
        <f>IF(OR(R27='Tabla Impacto'!$C$11,R27='Tabla Impacto'!$D$11),"Leve",IF(OR(R27='Tabla Impacto'!$C$12,R27='Tabla Impacto'!$D$12),"Menor",IF(OR(R27='Tabla Impacto'!$C$13,R27='Tabla Impacto'!$D$13),"Moderado",IF(OR(R27='Tabla Impacto'!$C$14,R27='Tabla Impacto'!$D$14),"Mayor",IF(OR(R27='Tabla Impacto'!$C$15,R27='Tabla Impacto'!$D$15),"Catastrófico","")))))</f>
        <v>Menor</v>
      </c>
      <c r="T27" s="292">
        <f>IF(S27="","",IF(S27="Leve",0.2,IF(S27="Menor",0.4,IF(S27="Moderado",0.6,IF(S27="Mayor",0.8,IF(S27="Catastrófico",1,))))))</f>
        <v>0.4</v>
      </c>
      <c r="U27" s="294" t="str">
        <f>IF(OR(AND(O27="Muy Baja",S27="Leve"),AND(O27="Muy Baja",S27="Menor"),AND(O27="Baja",S27="Leve")),"Bajo",IF(OR(AND(O27="Muy baja",S27="Moderado"),AND(O27="Baja",S27="Menor"),AND(O27="Baja",S27="Moderado"),AND(O27="Media",S27="Leve"),AND(O27="Media",S27="Menor"),AND(O27="Media",S27="Moderado"),AND(O27="Alta",S27="Leve"),AND(O27="Alta",S27="Menor")),"Moderado",IF(OR(AND(O27="Muy Baja",S27="Mayor"),AND(O27="Baja",S27="Mayor"),AND(O27="Media",S27="Mayor"),AND(O27="Alta",S27="Moderado"),AND(O27="Alta",S27="Mayor"),AND(O27="Muy Alta",S27="Leve"),AND(O27="Muy Alta",S27="Menor"),AND(O27="Muy Alta",S27="Moderado"),AND(O27="Muy Alta",S27="Mayor")),"Alto",IF(OR(AND(O27="Muy Baja",S27="Catastrófico"),AND(O27="Baja",S27="Catastrófico"),AND(O27="Media",S27="Catastrófico"),AND(O27="Alta",S27="Catastrófico"),AND(O27="Muy Alta",S27="Catastrófico")),"Extremo",""))))</f>
        <v>Moderado</v>
      </c>
      <c r="V27" s="116">
        <v>1</v>
      </c>
      <c r="W27" s="110" t="s">
        <v>229</v>
      </c>
      <c r="X27" s="190" t="str">
        <f t="shared" si="26"/>
        <v>Probabilidad</v>
      </c>
      <c r="Y27" s="94" t="s">
        <v>119</v>
      </c>
      <c r="Z27" s="94" t="s">
        <v>120</v>
      </c>
      <c r="AA27" s="92" t="str">
        <f>IF(AND(Y27="Preventivo",Z27="Automático"),"50%",IF(AND(Y27="Preventivo",Z27="Manual"),"40%",IF(AND(Y27="Detectivo",Z27="Automático"),"40%",IF(AND(Y27="Detectivo",Z27="Manual"),"30%",IF(AND(Y27="Correctivo",Z27="Automático"),"35%",IF(AND(Y27="Correctivo",Z27="Manual"),"25%",""))))))</f>
        <v>40%</v>
      </c>
      <c r="AB27" s="94" t="s">
        <v>230</v>
      </c>
      <c r="AC27" s="94" t="s">
        <v>155</v>
      </c>
      <c r="AD27" s="94" t="s">
        <v>231</v>
      </c>
      <c r="AE27" s="193">
        <f>IFERROR(IF(X27="Probabilidad",(P27-(+P27*AA27)),IF(X27="Impacto",P27,"")),"")</f>
        <v>0.24</v>
      </c>
      <c r="AF27" s="188" t="str">
        <f>IFERROR(IF(AE27="","",IF(AE27&lt;=0.2,"Muy Baja",IF(AE27&lt;=0.4,"Baja",IF(AE27&lt;=0.6,"Media",IF(AE27&lt;=0.8,"Alta","Muy Alta"))))),"")</f>
        <v>Baja</v>
      </c>
      <c r="AG27" s="92">
        <f>+AE27</f>
        <v>0.24</v>
      </c>
      <c r="AH27" s="188" t="str">
        <f>IFERROR(IF(AI27="","",IF(AI27&lt;=0.2,"Leve",IF(AI27&lt;=0.4,"Menor",IF(AI27&lt;=0.6,"Moderado",IF(AI27&lt;=0.8,"Mayor","Catastrófico"))))),"")</f>
        <v>Menor</v>
      </c>
      <c r="AI27" s="92">
        <f>IFERROR(IF(X27="Impacto",(T27-(+T27*AA27)),IF(X27="Probabilidad",T27,"")),"")</f>
        <v>0.4</v>
      </c>
      <c r="AJ27" s="186" t="str">
        <f>IFERROR(IF(OR(AND(AF27="Muy Baja",AH27="Leve"),AND(AF27="Muy Baja",AH27="Menor"),AND(AF27="Baja",AH27="Leve")),"Bajo",IF(OR(AND(AF27="Muy baja",AH27="Moderado"),AND(AF27="Baja",AH27="Menor"),AND(AF27="Baja",AH27="Moderado"),AND(AF27="Media",AH27="Leve"),AND(AF27="Media",AH27="Menor"),AND(AF27="Media",AH27="Moderado"),AND(AF27="Alta",AH27="Leve"),AND(AF27="Alta",AH27="Menor")),"Moderado",IF(OR(AND(AF27="Muy Baja",AH27="Mayor"),AND(AF27="Baja",AH27="Mayor"),AND(AF27="Media",AH27="Mayor"),AND(AF27="Alta",AH27="Moderado"),AND(AF27="Alta",AH27="Mayor"),AND(AF27="Muy Alta",AH27="Leve"),AND(AF27="Muy Alta",AH27="Menor"),AND(AF27="Muy Alta",AH27="Moderado"),AND(AF27="Muy Alta",AH27="Mayor")),"Alto",IF(OR(AND(AF27="Muy Baja",AH27="Catastrófico"),AND(AF27="Baja",AH27="Catastrófico"),AND(AF27="Media",AH27="Catastrófico"),AND(AF27="Alta",AH27="Catastrófico"),AND(AF27="Muy Alta",AH27="Catastrófico")),"Extremo","")))),"")</f>
        <v>Moderado</v>
      </c>
      <c r="AK27" s="268" t="s">
        <v>156</v>
      </c>
      <c r="AL27" s="280" t="s">
        <v>158</v>
      </c>
      <c r="AM27" s="280" t="s">
        <v>158</v>
      </c>
      <c r="AN27" s="280" t="s">
        <v>158</v>
      </c>
      <c r="AO27" s="280" t="s">
        <v>158</v>
      </c>
      <c r="AP27" s="280" t="s">
        <v>158</v>
      </c>
      <c r="AQ27" s="280" t="s">
        <v>158</v>
      </c>
      <c r="AR27" s="280" t="s">
        <v>158</v>
      </c>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row>
    <row r="28" spans="1:75" ht="80.25" customHeight="1">
      <c r="A28" s="307"/>
      <c r="B28" s="307"/>
      <c r="C28" s="316"/>
      <c r="D28" s="316"/>
      <c r="E28" s="278"/>
      <c r="F28" s="278"/>
      <c r="G28" s="278"/>
      <c r="H28" s="273"/>
      <c r="I28" s="274"/>
      <c r="J28" s="274"/>
      <c r="K28" s="274"/>
      <c r="L28" s="274"/>
      <c r="M28" s="278"/>
      <c r="N28" s="276"/>
      <c r="O28" s="299"/>
      <c r="P28" s="301"/>
      <c r="Q28" s="314"/>
      <c r="R28" s="301">
        <f>IF(NOT(ISERROR(MATCH(Q28,_xlfn.ANCHORARRAY(#REF!),0))),#REF!&amp;"Por favor no seleccionar los criterios de impacto",Q28)</f>
        <v>0</v>
      </c>
      <c r="S28" s="299"/>
      <c r="T28" s="301"/>
      <c r="U28" s="302"/>
      <c r="V28" s="87">
        <v>2</v>
      </c>
      <c r="W28" s="97" t="s">
        <v>232</v>
      </c>
      <c r="X28" s="88" t="str">
        <f t="shared" si="26"/>
        <v>Probabilidad</v>
      </c>
      <c r="Y28" s="89" t="s">
        <v>119</v>
      </c>
      <c r="Z28" s="89" t="s">
        <v>120</v>
      </c>
      <c r="AA28" s="90" t="str">
        <f t="shared" ref="AA28" si="27">IF(AND(Y28="Preventivo",Z28="Automático"),"50%",IF(AND(Y28="Preventivo",Z28="Manual"),"40%",IF(AND(Y28="Detectivo",Z28="Automático"),"40%",IF(AND(Y28="Detectivo",Z28="Manual"),"30%",IF(AND(Y28="Correctivo",Z28="Automático"),"35%",IF(AND(Y28="Correctivo",Z28="Manual"),"25%",""))))))</f>
        <v>40%</v>
      </c>
      <c r="AB28" s="89" t="s">
        <v>121</v>
      </c>
      <c r="AC28" s="89" t="s">
        <v>155</v>
      </c>
      <c r="AD28" s="89" t="s">
        <v>123</v>
      </c>
      <c r="AE28" s="127">
        <f>IFERROR(IF(AND(X27="Probabilidad",X28="Probabilidad"),(AG27-(+AG27*AA28)),IF(X27="Probabilidad",(P27-(+P27*AA28)),IF(X28="Impacto",AG27,""))),"")</f>
        <v>0.14399999999999999</v>
      </c>
      <c r="AF28" s="91" t="str">
        <f t="shared" ref="AF28" si="28">IFERROR(IF(AE28="","",IF(AE28&lt;=0.2,"Muy Baja",IF(AE28&lt;=0.4,"Baja",IF(AE28&lt;=0.6,"Media",IF(AE28&lt;=0.8,"Alta","Muy Alta"))))),"")</f>
        <v>Muy Baja</v>
      </c>
      <c r="AG28" s="92">
        <f t="shared" ref="AG28" si="29">+AE28</f>
        <v>0.14399999999999999</v>
      </c>
      <c r="AH28" s="91" t="str">
        <f t="shared" ref="AH28" si="30">IFERROR(IF(AI28="","",IF(AI28&lt;=0.2,"Leve",IF(AI28&lt;=0.4,"Menor",IF(AI28&lt;=0.6,"Moderado",IF(AI28&lt;=0.8,"Mayor","Catastrófico"))))),"")</f>
        <v>Menor</v>
      </c>
      <c r="AI28" s="92">
        <f>IFERROR(IF(AND(X27="Impacto",X28="Impacto"),(AI27-(+AI27*AA28)),IF(X28="Impacto",($T$17-(+$T$17*AA28)),IF(X28="Probabilidad",AI27,""))),"")</f>
        <v>0.4</v>
      </c>
      <c r="AJ28" s="93" t="str">
        <f t="shared" ref="AJ28" si="31">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Bajo</v>
      </c>
      <c r="AK28" s="269"/>
      <c r="AL28" s="279"/>
      <c r="AM28" s="279"/>
      <c r="AN28" s="279"/>
      <c r="AO28" s="279"/>
      <c r="AP28" s="279"/>
      <c r="AQ28" s="279"/>
      <c r="AR28" s="279"/>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row>
    <row r="29" spans="1:75" ht="150.75" customHeight="1">
      <c r="A29" s="116" t="s">
        <v>233</v>
      </c>
      <c r="B29" s="86" t="s">
        <v>234</v>
      </c>
      <c r="C29" s="86" t="s">
        <v>235</v>
      </c>
      <c r="D29" s="86" t="s">
        <v>110</v>
      </c>
      <c r="E29" s="115" t="s">
        <v>148</v>
      </c>
      <c r="F29" s="115" t="s">
        <v>236</v>
      </c>
      <c r="G29" s="115" t="s">
        <v>237</v>
      </c>
      <c r="H29" s="103" t="s">
        <v>238</v>
      </c>
      <c r="I29" s="103" t="s">
        <v>115</v>
      </c>
      <c r="J29" s="103" t="s">
        <v>115</v>
      </c>
      <c r="K29" s="103" t="s">
        <v>115</v>
      </c>
      <c r="L29" s="103" t="s">
        <v>115</v>
      </c>
      <c r="M29" s="115" t="s">
        <v>116</v>
      </c>
      <c r="N29" s="120">
        <v>150</v>
      </c>
      <c r="O29" s="118" t="str">
        <f>IF(N29&lt;=0,"",IF(N29&lt;=2,"Muy Baja",IF(N29&lt;=24,"Baja",IF(N29&lt;=500,"Media",IF(N29&lt;=5000,"Alta","Muy Alta")))))</f>
        <v>Media</v>
      </c>
      <c r="P29" s="117">
        <f>IF(O29="","",IF(O29="Muy Baja",0.2,IF(O29="Baja",0.4,IF(O29="Media",0.6,IF(O29="Alta",0.8,IF(O29="Muy Alta",1,))))))</f>
        <v>0.6</v>
      </c>
      <c r="Q29" s="192" t="s">
        <v>228</v>
      </c>
      <c r="R29" s="117" t="str">
        <f>IF(NOT(ISERROR(MATCH(Q29,'Tabla Impacto'!$B$221:$B$223,0))),'Tabla Impacto'!$F$223&amp;"Por favor no seleccionar los criterios de impacto(Afectación Económica o presupuestal y Pérdida Reputacional)",Q29)</f>
        <v xml:space="preserve">     El riesgo afecta la imagen de la entidad internamente, de conocimiento general, nivel interno, de junta dircetiva y accionistas y/o de provedores</v>
      </c>
      <c r="S29" s="118" t="str">
        <f>IF(OR(R29='Tabla Impacto'!$C$11,R29='Tabla Impacto'!$D$11),"Leve",IF(OR(R29='Tabla Impacto'!$C$12,R29='Tabla Impacto'!$D$12),"Menor",IF(OR(R29='Tabla Impacto'!$C$13,R29='Tabla Impacto'!$D$13),"Moderado",IF(OR(R29='Tabla Impacto'!$C$14,R29='Tabla Impacto'!$D$14),"Mayor",IF(OR(R29='Tabla Impacto'!$C$15,R29='Tabla Impacto'!$D$15),"Catastrófico","")))))</f>
        <v>Menor</v>
      </c>
      <c r="T29" s="117">
        <f>IF(S29="","",IF(S29="Leve",0.2,IF(S29="Menor",0.4,IF(S29="Moderado",0.6,IF(S29="Mayor",0.8,IF(S29="Catastrófico",1,))))))</f>
        <v>0.4</v>
      </c>
      <c r="U29" s="119" t="str">
        <f>IF(OR(AND(O29="Muy Baja",S29="Leve"),AND(O29="Muy Baja",S29="Menor"),AND(O29="Baja",S29="Leve")),"Bajo",IF(OR(AND(O29="Muy baja",S29="Moderado"),AND(O29="Baja",S29="Menor"),AND(O29="Baja",S29="Moderado"),AND(O29="Media",S29="Leve"),AND(O29="Media",S29="Menor"),AND(O29="Media",S29="Moderado"),AND(O29="Alta",S29="Leve"),AND(O29="Alta",S29="Menor")),"Moderado",IF(OR(AND(O29="Muy Baja",S29="Mayor"),AND(O29="Baja",S29="Mayor"),AND(O29="Media",S29="Mayor"),AND(O29="Alta",S29="Moderado"),AND(O29="Alta",S29="Mayor"),AND(O29="Muy Alta",S29="Leve"),AND(O29="Muy Alta",S29="Menor"),AND(O29="Muy Alta",S29="Moderado"),AND(O29="Muy Alta",S29="Mayor")),"Alto",IF(OR(AND(O29="Muy Baja",S29="Catastrófico"),AND(O29="Baja",S29="Catastrófico"),AND(O29="Media",S29="Catastrófico"),AND(O29="Alta",S29="Catastrófico"),AND(O29="Muy Alta",S29="Catastrófico")),"Extremo",""))))</f>
        <v>Moderado</v>
      </c>
      <c r="V29" s="116">
        <v>1</v>
      </c>
      <c r="W29" s="110" t="s">
        <v>239</v>
      </c>
      <c r="X29" s="190" t="str">
        <f t="shared" si="26"/>
        <v>Probabilidad</v>
      </c>
      <c r="Y29" s="94" t="s">
        <v>119</v>
      </c>
      <c r="Z29" s="94" t="s">
        <v>120</v>
      </c>
      <c r="AA29" s="92" t="str">
        <f>IF(AND(Y29="Preventivo",Z29="Automático"),"50%",IF(AND(Y29="Preventivo",Z29="Manual"),"40%",IF(AND(Y29="Detectivo",Z29="Automático"),"40%",IF(AND(Y29="Detectivo",Z29="Manual"),"30%",IF(AND(Y29="Correctivo",Z29="Automático"),"35%",IF(AND(Y29="Correctivo",Z29="Manual"),"25%",""))))))</f>
        <v>40%</v>
      </c>
      <c r="AB29" s="94" t="s">
        <v>121</v>
      </c>
      <c r="AC29" s="94" t="s">
        <v>155</v>
      </c>
      <c r="AD29" s="94" t="s">
        <v>123</v>
      </c>
      <c r="AE29" s="193">
        <f>IFERROR(IF(X29="Probabilidad",(P29-(+P29*AA29)),IF(X29="Impacto",P29,"")),"")</f>
        <v>0.36</v>
      </c>
      <c r="AF29" s="188" t="str">
        <f>IFERROR(IF(AE29="","",IF(AE29&lt;=0.2,"Muy Baja",IF(AE29&lt;=0.4,"Baja",IF(AE29&lt;=0.6,"Media",IF(AE29&lt;=0.8,"Alta","Muy Alta"))))),"")</f>
        <v>Baja</v>
      </c>
      <c r="AG29" s="92">
        <f>+AE29</f>
        <v>0.36</v>
      </c>
      <c r="AH29" s="188" t="str">
        <f>IFERROR(IF(AI29="","",IF(AI29&lt;=0.2,"Leve",IF(AI29&lt;=0.4,"Menor",IF(AI29&lt;=0.6,"Moderado",IF(AI29&lt;=0.8,"Mayor","Catastrófico"))))),"")</f>
        <v>Menor</v>
      </c>
      <c r="AI29" s="92">
        <f>IFERROR(IF(X29="Impacto",(T29-(+T29*AA29)),IF(X29="Probabilidad",T29,"")),"")</f>
        <v>0.4</v>
      </c>
      <c r="AJ29" s="186" t="str">
        <f>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Moderado</v>
      </c>
      <c r="AK29" s="94" t="s">
        <v>124</v>
      </c>
      <c r="AL29" s="95" t="s">
        <v>240</v>
      </c>
      <c r="AM29" s="95" t="s">
        <v>241</v>
      </c>
      <c r="AN29" s="106" t="s">
        <v>142</v>
      </c>
      <c r="AO29" s="106" t="s">
        <v>242</v>
      </c>
      <c r="AP29" s="95" t="s">
        <v>243</v>
      </c>
      <c r="AQ29" s="96" t="s">
        <v>130</v>
      </c>
      <c r="AR29" s="95" t="s">
        <v>244</v>
      </c>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row>
    <row r="30" spans="1:75" ht="219" customHeight="1">
      <c r="A30" s="107" t="s">
        <v>245</v>
      </c>
      <c r="B30" s="86" t="s">
        <v>234</v>
      </c>
      <c r="C30" s="86" t="s">
        <v>235</v>
      </c>
      <c r="D30" s="86" t="s">
        <v>110</v>
      </c>
      <c r="E30" s="115" t="s">
        <v>148</v>
      </c>
      <c r="F30" s="196" t="s">
        <v>246</v>
      </c>
      <c r="G30" s="115" t="s">
        <v>247</v>
      </c>
      <c r="H30" s="103" t="s">
        <v>248</v>
      </c>
      <c r="I30" s="103" t="s">
        <v>115</v>
      </c>
      <c r="J30" s="103" t="s">
        <v>115</v>
      </c>
      <c r="K30" s="103" t="s">
        <v>115</v>
      </c>
      <c r="L30" s="103" t="s">
        <v>115</v>
      </c>
      <c r="M30" s="115" t="s">
        <v>116</v>
      </c>
      <c r="N30" s="120">
        <v>150</v>
      </c>
      <c r="O30" s="118" t="str">
        <f>IF(N30&lt;=0,"",IF(N30&lt;=2,"Muy Baja",IF(N30&lt;=24,"Baja",IF(N30&lt;=500,"Media",IF(N30&lt;=5000,"Alta","Muy Alta")))))</f>
        <v>Media</v>
      </c>
      <c r="P30" s="117">
        <f>IF(O30="","",IF(O30="Muy Baja",0.2,IF(O30="Baja",0.4,IF(O30="Media",0.6,IF(O30="Alta",0.8,IF(O30="Muy Alta",1,))))))</f>
        <v>0.6</v>
      </c>
      <c r="Q30" s="192" t="s">
        <v>228</v>
      </c>
      <c r="R30" s="117" t="str">
        <f>IF(NOT(ISERROR(MATCH(Q30,'Tabla Impacto'!$B$221:$B$223,0))),'Tabla Impacto'!$F$223&amp;"Por favor no seleccionar los criterios de impacto(Afectación Económica o presupuestal y Pérdida Reputacional)",Q30)</f>
        <v xml:space="preserve">     El riesgo afecta la imagen de la entidad internamente, de conocimiento general, nivel interno, de junta dircetiva y accionistas y/o de provedores</v>
      </c>
      <c r="S30" s="118" t="str">
        <f>IF(OR(R30='Tabla Impacto'!$C$11,R30='Tabla Impacto'!$D$11),"Leve",IF(OR(R30='Tabla Impacto'!$C$12,R30='Tabla Impacto'!$D$12),"Menor",IF(OR(R30='Tabla Impacto'!$C$13,R30='Tabla Impacto'!$D$13),"Moderado",IF(OR(R30='Tabla Impacto'!$C$14,R30='Tabla Impacto'!$D$14),"Mayor",IF(OR(R30='Tabla Impacto'!$C$15,R30='Tabla Impacto'!$D$15),"Catastrófico","")))))</f>
        <v>Menor</v>
      </c>
      <c r="T30" s="117">
        <f>IF(S30="","",IF(S30="Leve",0.2,IF(S30="Menor",0.4,IF(S30="Moderado",0.6,IF(S30="Mayor",0.8,IF(S30="Catastrófico",1,))))))</f>
        <v>0.4</v>
      </c>
      <c r="U30" s="119" t="str">
        <f>IF(OR(AND(O30="Muy Baja",S30="Leve"),AND(O30="Muy Baja",S30="Menor"),AND(O30="Baja",S30="Leve")),"Bajo",IF(OR(AND(O30="Muy baja",S30="Moderado"),AND(O30="Baja",S30="Menor"),AND(O30="Baja",S30="Moderado"),AND(O30="Media",S30="Leve"),AND(O30="Media",S30="Menor"),AND(O30="Media",S30="Moderado"),AND(O30="Alta",S30="Leve"),AND(O30="Alta",S30="Menor")),"Moderado",IF(OR(AND(O30="Muy Baja",S30="Mayor"),AND(O30="Baja",S30="Mayor"),AND(O30="Media",S30="Mayor"),AND(O30="Alta",S30="Moderado"),AND(O30="Alta",S30="Mayor"),AND(O30="Muy Alta",S30="Leve"),AND(O30="Muy Alta",S30="Menor"),AND(O30="Muy Alta",S30="Moderado"),AND(O30="Muy Alta",S30="Mayor")),"Alto",IF(OR(AND(O30="Muy Baja",S30="Catastrófico"),AND(O30="Baja",S30="Catastrófico"),AND(O30="Media",S30="Catastrófico"),AND(O30="Alta",S30="Catastrófico"),AND(O30="Muy Alta",S30="Catastrófico")),"Extremo",""))))</f>
        <v>Moderado</v>
      </c>
      <c r="V30" s="116">
        <v>1</v>
      </c>
      <c r="W30" s="110" t="s">
        <v>249</v>
      </c>
      <c r="X30" s="190" t="str">
        <f t="shared" si="26"/>
        <v>Probabilidad</v>
      </c>
      <c r="Y30" s="94" t="s">
        <v>119</v>
      </c>
      <c r="Z30" s="94" t="s">
        <v>120</v>
      </c>
      <c r="AA30" s="92" t="str">
        <f t="shared" ref="AA30" si="32">IF(AND(Y30="Preventivo",Z30="Automático"),"50%",IF(AND(Y30="Preventivo",Z30="Manual"),"40%",IF(AND(Y30="Detectivo",Z30="Automático"),"40%",IF(AND(Y30="Detectivo",Z30="Manual"),"30%",IF(AND(Y30="Correctivo",Z30="Automático"),"35%",IF(AND(Y30="Correctivo",Z30="Manual"),"25%",""))))))</f>
        <v>40%</v>
      </c>
      <c r="AB30" s="94" t="s">
        <v>121</v>
      </c>
      <c r="AC30" s="94" t="s">
        <v>155</v>
      </c>
      <c r="AD30" s="94" t="s">
        <v>123</v>
      </c>
      <c r="AE30" s="193">
        <v>0.36</v>
      </c>
      <c r="AF30" s="188" t="s">
        <v>250</v>
      </c>
      <c r="AG30" s="92">
        <v>0.36</v>
      </c>
      <c r="AH30" s="188" t="s">
        <v>251</v>
      </c>
      <c r="AI30" s="92">
        <v>0.4</v>
      </c>
      <c r="AJ30" s="186" t="s">
        <v>252</v>
      </c>
      <c r="AK30" s="185" t="s">
        <v>124</v>
      </c>
      <c r="AL30" s="95" t="s">
        <v>240</v>
      </c>
      <c r="AM30" s="95" t="s">
        <v>253</v>
      </c>
      <c r="AN30" s="106" t="s">
        <v>142</v>
      </c>
      <c r="AO30" s="106" t="s">
        <v>242</v>
      </c>
      <c r="AP30" s="95" t="s">
        <v>254</v>
      </c>
      <c r="AQ30" s="96" t="s">
        <v>130</v>
      </c>
      <c r="AR30" s="95" t="s">
        <v>244</v>
      </c>
    </row>
    <row r="31" spans="1:75" ht="159.75" customHeight="1">
      <c r="A31" s="355" t="s">
        <v>255</v>
      </c>
      <c r="B31" s="315" t="s">
        <v>256</v>
      </c>
      <c r="C31" s="315" t="s">
        <v>257</v>
      </c>
      <c r="D31" s="315" t="s">
        <v>110</v>
      </c>
      <c r="E31" s="280" t="s">
        <v>148</v>
      </c>
      <c r="F31" s="280" t="s">
        <v>258</v>
      </c>
      <c r="G31" s="280" t="s">
        <v>259</v>
      </c>
      <c r="H31" s="317" t="s">
        <v>260</v>
      </c>
      <c r="I31" s="317" t="s">
        <v>115</v>
      </c>
      <c r="J31" s="317" t="s">
        <v>115</v>
      </c>
      <c r="K31" s="317" t="s">
        <v>115</v>
      </c>
      <c r="L31" s="317" t="s">
        <v>115</v>
      </c>
      <c r="M31" s="280" t="s">
        <v>116</v>
      </c>
      <c r="N31" s="275">
        <v>9</v>
      </c>
      <c r="O31" s="298" t="str">
        <f>IF(N31&lt;=0,"",IF(N31&lt;=2,"Muy Baja",IF(N31&lt;=24,"Baja",IF(N31&lt;=500,"Media",IF(N31&lt;=5000,"Alta","Muy Alta")))))</f>
        <v>Baja</v>
      </c>
      <c r="P31" s="292">
        <f>IF(O31="","",IF(O31="Muy Baja",0.2,IF(O31="Baja",0.4,IF(O31="Media",0.6,IF(O31="Alta",0.8,IF(O31="Muy Alta",1,))))))</f>
        <v>0.4</v>
      </c>
      <c r="Q31" s="313" t="s">
        <v>166</v>
      </c>
      <c r="R31" s="292" t="str">
        <f>IF(NOT(ISERROR(MATCH(Q31,'Tabla Impacto'!$B$221:$B$223,0))),'Tabla Impacto'!$F$223&amp;"Por favor no seleccionar los criterios de impacto(Afectación Económica o presupuestal y Pérdida Reputacional)",Q31)</f>
        <v xml:space="preserve">     El riesgo afecta la imagen de de la entidad con efecto publicitario sostenido a nivel de sector administrativo, nivel departamental o municipal</v>
      </c>
      <c r="S31" s="298" t="str">
        <f>IF(OR(R31='Tabla Impacto'!$C$11,R31='Tabla Impacto'!$D$11),"Leve",IF(OR(R31='Tabla Impacto'!$C$12,R31='Tabla Impacto'!$D$12),"Menor",IF(OR(R31='Tabla Impacto'!$C$13,R31='Tabla Impacto'!$D$13),"Moderado",IF(OR(R31='Tabla Impacto'!$C$14,R31='Tabla Impacto'!$D$14),"Mayor",IF(OR(R31='Tabla Impacto'!$C$15,R31='Tabla Impacto'!$D$15),"Catastrófico","")))))</f>
        <v>Mayor</v>
      </c>
      <c r="T31" s="292">
        <f>IF(S31="","",IF(S31="Leve",0.2,IF(S31="Menor",0.4,IF(S31="Moderado",0.6,IF(S31="Mayor",0.8,IF(S31="Catastrófico",1,))))))</f>
        <v>0.8</v>
      </c>
      <c r="U31" s="29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Alto</v>
      </c>
      <c r="V31" s="305">
        <v>1</v>
      </c>
      <c r="W31" s="296" t="s">
        <v>261</v>
      </c>
      <c r="X31" s="374" t="str">
        <f t="shared" ref="X31" si="33">IF(OR(Y31="Preventivo",Y31="Detectivo"),"Probabilidad",IF(Y31="Correctivo","Impacto",""))</f>
        <v>Probabilidad</v>
      </c>
      <c r="Y31" s="268" t="s">
        <v>119</v>
      </c>
      <c r="Z31" s="268" t="s">
        <v>120</v>
      </c>
      <c r="AA31" s="362" t="str">
        <f>IF(AND(Y31="Preventivo",Z31="Automático"),"50%",IF(AND(Y31="Preventivo",Z31="Manual"),"40%",IF(AND(Y31="Detectivo",Z31="Automático"),"40%",IF(AND(Y31="Detectivo",Z31="Manual"),"30%",IF(AND(Y31="Correctivo",Z31="Automático"),"35%",IF(AND(Y31="Correctivo",Z31="Manual"),"25%",""))))))</f>
        <v>40%</v>
      </c>
      <c r="AB31" s="268" t="s">
        <v>121</v>
      </c>
      <c r="AC31" s="268" t="s">
        <v>122</v>
      </c>
      <c r="AD31" s="268" t="s">
        <v>123</v>
      </c>
      <c r="AE31" s="365">
        <f>IFERROR(IF(X31="Probabilidad",(P31-(+P31*AA31)),IF(X31="Impacto",P31,"")),"")</f>
        <v>0.24</v>
      </c>
      <c r="AF31" s="290" t="str">
        <f>IFERROR(IF(AE31="","",IF(AE31&lt;=0.2,"Muy Baja",IF(AE31&lt;=0.4,"Baja",IF(AE31&lt;=0.6,"Media",IF(AE31&lt;=0.8,"Alta","Muy Alta"))))),"")</f>
        <v>Baja</v>
      </c>
      <c r="AG31" s="362">
        <f>+AE31</f>
        <v>0.24</v>
      </c>
      <c r="AH31" s="290" t="str">
        <f>IFERROR(IF(AI31="","",IF(AI31&lt;=0.2,"Leve",IF(AI31&lt;=0.4,"Menor",IF(AI31&lt;=0.6,"Moderado",IF(AI31&lt;=0.8,"Mayor","Catastrófico"))))),"")</f>
        <v>Mayor</v>
      </c>
      <c r="AI31" s="362">
        <f>IFERROR(IF(X31="Impacto",(T31-(+T31*AA31)),IF(X31="Probabilidad",T31,"")),"")</f>
        <v>0.8</v>
      </c>
      <c r="AJ31" s="369"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Alto</v>
      </c>
      <c r="AK31" s="282" t="s">
        <v>124</v>
      </c>
      <c r="AL31" s="95" t="s">
        <v>262</v>
      </c>
      <c r="AM31" s="95" t="s">
        <v>263</v>
      </c>
      <c r="AN31" s="106" t="s">
        <v>264</v>
      </c>
      <c r="AO31" s="106" t="s">
        <v>265</v>
      </c>
      <c r="AP31" s="95" t="s">
        <v>266</v>
      </c>
      <c r="AQ31" s="96" t="s">
        <v>130</v>
      </c>
      <c r="AR31" s="95" t="s">
        <v>267</v>
      </c>
    </row>
    <row r="32" spans="1:75" ht="112.5" customHeight="1">
      <c r="A32" s="358"/>
      <c r="B32" s="316"/>
      <c r="C32" s="316"/>
      <c r="D32" s="316"/>
      <c r="E32" s="278"/>
      <c r="F32" s="279"/>
      <c r="G32" s="279"/>
      <c r="H32" s="274"/>
      <c r="I32" s="274"/>
      <c r="J32" s="274"/>
      <c r="K32" s="274"/>
      <c r="L32" s="274"/>
      <c r="M32" s="278"/>
      <c r="N32" s="276"/>
      <c r="O32" s="299"/>
      <c r="P32" s="301"/>
      <c r="Q32" s="314"/>
      <c r="R32" s="301">
        <f>IF(NOT(ISERROR(MATCH(Q32,_xlfn.ANCHORARRAY(H43),0))),P48&amp;"Por favor no seleccionar los criterios de impacto",Q32)</f>
        <v>0</v>
      </c>
      <c r="S32" s="299"/>
      <c r="T32" s="301"/>
      <c r="U32" s="302"/>
      <c r="V32" s="306"/>
      <c r="W32" s="297"/>
      <c r="X32" s="375"/>
      <c r="Y32" s="269"/>
      <c r="Z32" s="269"/>
      <c r="AA32" s="364"/>
      <c r="AB32" s="269"/>
      <c r="AC32" s="269"/>
      <c r="AD32" s="269"/>
      <c r="AE32" s="366"/>
      <c r="AF32" s="291"/>
      <c r="AG32" s="364"/>
      <c r="AH32" s="291"/>
      <c r="AI32" s="364"/>
      <c r="AJ32" s="370"/>
      <c r="AK32" s="283"/>
      <c r="AL32" s="95" t="s">
        <v>268</v>
      </c>
      <c r="AM32" s="95" t="s">
        <v>269</v>
      </c>
      <c r="AN32" s="106" t="s">
        <v>270</v>
      </c>
      <c r="AO32" s="106" t="s">
        <v>271</v>
      </c>
      <c r="AP32" s="95" t="s">
        <v>272</v>
      </c>
      <c r="AQ32" s="96" t="s">
        <v>130</v>
      </c>
      <c r="AR32" s="95" t="s">
        <v>273</v>
      </c>
    </row>
    <row r="33" spans="1:45" ht="241.5" customHeight="1">
      <c r="A33" s="116" t="s">
        <v>274</v>
      </c>
      <c r="B33" s="86" t="s">
        <v>256</v>
      </c>
      <c r="C33" s="86" t="s">
        <v>257</v>
      </c>
      <c r="D33" s="86" t="s">
        <v>110</v>
      </c>
      <c r="E33" s="115" t="s">
        <v>148</v>
      </c>
      <c r="F33" s="115" t="s">
        <v>275</v>
      </c>
      <c r="G33" s="115" t="s">
        <v>276</v>
      </c>
      <c r="H33" s="103" t="s">
        <v>277</v>
      </c>
      <c r="I33" s="103" t="s">
        <v>115</v>
      </c>
      <c r="J33" s="103" t="s">
        <v>115</v>
      </c>
      <c r="K33" s="103" t="s">
        <v>115</v>
      </c>
      <c r="L33" s="115" t="s">
        <v>115</v>
      </c>
      <c r="M33" s="115" t="s">
        <v>116</v>
      </c>
      <c r="N33" s="120">
        <v>40</v>
      </c>
      <c r="O33" s="118" t="str">
        <f>IF(N33&lt;=0,"",IF(N33&lt;=2,"Muy Baja",IF(N33&lt;=24,"Baja",IF(N33&lt;=500,"Media",IF(N33&lt;=5000,"Alta","Muy Alta")))))</f>
        <v>Media</v>
      </c>
      <c r="P33" s="117">
        <f>IF(O33="","",IF(O33="Muy Baja",0.2,IF(O33="Baja",0.4,IF(O33="Media",0.6,IF(O33="Alta",0.8,IF(O33="Muy Alta",1,))))))</f>
        <v>0.6</v>
      </c>
      <c r="Q33" s="113" t="s">
        <v>117</v>
      </c>
      <c r="R33" s="109" t="str">
        <f>IF(NOT(ISERROR(MATCH(Q33,'Tabla Impacto'!$B$221:$B$223,0))),'Tabla Impacto'!$F$223&amp;"Por favor no seleccionar los criterios de impacto(Afectación Económica o presupuestal y Pérdida Reputacional)",Q33)</f>
        <v xml:space="preserve">     El riesgo afecta la imagen de la entidad con algunos usuarios de relevancia frente al logro de los objetivos</v>
      </c>
      <c r="S33" s="118" t="str">
        <f>IF(OR(R33='Tabla Impacto'!$C$11,R33='Tabla Impacto'!$D$11),"Leve",IF(OR(R33='Tabla Impacto'!$C$12,R33='Tabla Impacto'!$D$12),"Menor",IF(OR(R33='Tabla Impacto'!$C$13,R33='Tabla Impacto'!$D$13),"Moderado",IF(OR(R33='Tabla Impacto'!$C$14,R33='Tabla Impacto'!$D$14),"Mayor",IF(OR(R33='Tabla Impacto'!$C$15,R33='Tabla Impacto'!$D$15),"Catastrófico","")))))</f>
        <v>Moderado</v>
      </c>
      <c r="T33" s="117">
        <f>IF(S33="","",IF(S33="Leve",0.2,IF(S33="Menor",0.4,IF(S33="Moderado",0.6,IF(S33="Mayor",0.8,IF(S33="Catastrófico",1,))))))</f>
        <v>0.6</v>
      </c>
      <c r="U33" s="119" t="str">
        <f>IF(OR(AND(O33="Muy Baja",S33="Leve"),AND(O33="Muy Baja",S33="Menor"),AND(O33="Baja",S33="Leve")),"Bajo",IF(OR(AND(O33="Muy baja",S33="Moderado"),AND(O33="Baja",S33="Menor"),AND(O33="Baja",S33="Moderado"),AND(O33="Media",S33="Leve"),AND(O33="Media",S33="Menor"),AND(O33="Media",S33="Moderado"),AND(O33="Alta",S33="Leve"),AND(O33="Alta",S33="Menor")),"Moderado",IF(OR(AND(O33="Muy Baja",S33="Mayor"),AND(O33="Baja",S33="Mayor"),AND(O33="Media",S33="Mayor"),AND(O33="Alta",S33="Moderado"),AND(O33="Alta",S33="Mayor"),AND(O33="Muy Alta",S33="Leve"),AND(O33="Muy Alta",S33="Menor"),AND(O33="Muy Alta",S33="Moderado"),AND(O33="Muy Alta",S33="Mayor")),"Alto",IF(OR(AND(O33="Muy Baja",S33="Catastrófico"),AND(O33="Baja",S33="Catastrófico"),AND(O33="Media",S33="Catastrófico"),AND(O33="Alta",S33="Catastrófico"),AND(O33="Muy Alta",S33="Catastrófico")),"Extremo",""))))</f>
        <v>Moderado</v>
      </c>
      <c r="V33" s="116">
        <v>1</v>
      </c>
      <c r="W33" s="98" t="s">
        <v>278</v>
      </c>
      <c r="X33" s="88" t="str">
        <f t="shared" ref="X33:X44" si="34">IF(OR(Y33="Preventivo",Y33="Detectivo"),"Probabilidad",IF(Y33="Correctivo","Impacto",""))</f>
        <v>Probabilidad</v>
      </c>
      <c r="Y33" s="89" t="s">
        <v>119</v>
      </c>
      <c r="Z33" s="89" t="s">
        <v>120</v>
      </c>
      <c r="AA33" s="90">
        <v>0.4</v>
      </c>
      <c r="AB33" s="89" t="s">
        <v>121</v>
      </c>
      <c r="AC33" s="89" t="s">
        <v>122</v>
      </c>
      <c r="AD33" s="89" t="s">
        <v>123</v>
      </c>
      <c r="AE33" s="127">
        <f t="shared" ref="AE33:AE42" si="35">IFERROR(IF(X33="Probabilidad",(P33-(+P33*AA33)),IF(X33="Impacto",P33,"")),"")</f>
        <v>0.36</v>
      </c>
      <c r="AF33" s="91" t="str">
        <f t="shared" ref="AF33:AF42" si="36">IFERROR(IF(AE33="","",IF(AE33&lt;=0.2,"Muy Baja",IF(AE33&lt;=0.4,"Baja",IF(AE33&lt;=0.6,"Media",IF(AE33&lt;=0.8,"Alta","Muy Alta"))))),"")</f>
        <v>Baja</v>
      </c>
      <c r="AG33" s="92">
        <f t="shared" ref="AG33:AG42" si="37">+AE33</f>
        <v>0.36</v>
      </c>
      <c r="AH33" s="91" t="str">
        <f t="shared" ref="AH33:AH42" si="38">IFERROR(IF(AI33="","",IF(AI33&lt;=0.2,"Leve",IF(AI33&lt;=0.4,"Menor",IF(AI33&lt;=0.6,"Moderado",IF(AI33&lt;=0.8,"Mayor","Catastrófico"))))),"")</f>
        <v>Moderado</v>
      </c>
      <c r="AI33" s="92">
        <f t="shared" ref="AI33:AI42" si="39">IFERROR(IF(X33="Impacto",(T33-(+T33*AA33)),IF(X33="Probabilidad",T33,"")),"")</f>
        <v>0.6</v>
      </c>
      <c r="AJ33" s="93" t="str">
        <f t="shared" ref="AJ33:AJ42" si="40">IFERROR(IF(OR(AND(AF33="Muy Baja",AH33="Leve"),AND(AF33="Muy Baja",AH33="Menor"),AND(AF33="Baja",AH33="Leve")),"Bajo",IF(OR(AND(AF33="Muy baja",AH33="Moderado"),AND(AF33="Baja",AH33="Menor"),AND(AF33="Baja",AH33="Moderado"),AND(AF33="Media",AH33="Leve"),AND(AF33="Media",AH33="Menor"),AND(AF33="Media",AH33="Moderado"),AND(AF33="Alta",AH33="Leve"),AND(AF33="Alta",AH33="Menor")),"Moderado",IF(OR(AND(AF33="Muy Baja",AH33="Mayor"),AND(AF33="Baja",AH33="Mayor"),AND(AF33="Media",AH33="Mayor"),AND(AF33="Alta",AH33="Moderado"),AND(AF33="Alta",AH33="Mayor"),AND(AF33="Muy Alta",AH33="Leve"),AND(AF33="Muy Alta",AH33="Menor"),AND(AF33="Muy Alta",AH33="Moderado"),AND(AF33="Muy Alta",AH33="Mayor")),"Alto",IF(OR(AND(AF33="Muy Baja",AH33="Catastrófico"),AND(AF33="Baja",AH33="Catastrófico"),AND(AF33="Media",AH33="Catastrófico"),AND(AF33="Alta",AH33="Catastrófico"),AND(AF33="Muy Alta",AH33="Catastrófico")),"Extremo","")))),"")</f>
        <v>Moderado</v>
      </c>
      <c r="AK33" s="94" t="s">
        <v>124</v>
      </c>
      <c r="AL33" s="95" t="s">
        <v>279</v>
      </c>
      <c r="AM33" s="95" t="s">
        <v>269</v>
      </c>
      <c r="AN33" s="106" t="s">
        <v>280</v>
      </c>
      <c r="AO33" s="106" t="s">
        <v>281</v>
      </c>
      <c r="AP33" s="95" t="s">
        <v>282</v>
      </c>
      <c r="AQ33" s="96" t="s">
        <v>145</v>
      </c>
      <c r="AR33" s="95" t="s">
        <v>283</v>
      </c>
    </row>
    <row r="34" spans="1:45" ht="193.5" customHeight="1">
      <c r="A34" s="305" t="s">
        <v>284</v>
      </c>
      <c r="B34" s="315" t="s">
        <v>256</v>
      </c>
      <c r="C34" s="315" t="s">
        <v>257</v>
      </c>
      <c r="D34" s="315" t="s">
        <v>110</v>
      </c>
      <c r="E34" s="280" t="s">
        <v>148</v>
      </c>
      <c r="F34" s="280" t="s">
        <v>285</v>
      </c>
      <c r="G34" s="103" t="s">
        <v>286</v>
      </c>
      <c r="H34" s="103" t="s">
        <v>287</v>
      </c>
      <c r="I34" s="317" t="s">
        <v>115</v>
      </c>
      <c r="J34" s="317" t="s">
        <v>115</v>
      </c>
      <c r="K34" s="317" t="s">
        <v>115</v>
      </c>
      <c r="L34" s="280" t="s">
        <v>115</v>
      </c>
      <c r="M34" s="280" t="s">
        <v>116</v>
      </c>
      <c r="N34" s="280">
        <v>9</v>
      </c>
      <c r="O34" s="298" t="str">
        <f t="shared" ref="O34:O38" si="41">IF(N34&lt;=0,"",IF(N34&lt;=2,"Muy Baja",IF(N34&lt;=24,"Baja",IF(N34&lt;=500,"Media",IF(N34&lt;=5000,"Alta","Muy Alta")))))</f>
        <v>Baja</v>
      </c>
      <c r="P34" s="292">
        <f t="shared" ref="P34:P38" si="42">IF(O34="","",IF(O34="Muy Baja",0.2,IF(O34="Baja",0.4,IF(O34="Media",0.6,IF(O34="Alta",0.8,IF(O34="Muy Alta",1,))))))</f>
        <v>0.4</v>
      </c>
      <c r="Q34" s="313" t="s">
        <v>117</v>
      </c>
      <c r="R34" s="292" t="str">
        <f>IF(NOT(ISERROR(MATCH(Q34,'Tabla Impacto'!$B$221:$B$223,0))),'Tabla Impacto'!$F$223&amp;"Por favor no seleccionar los criterios de impacto(Afectación Económica o presupuestal y Pérdida Reputacional)",Q34)</f>
        <v xml:space="preserve">     El riesgo afecta la imagen de la entidad con algunos usuarios de relevancia frente al logro de los objetivos</v>
      </c>
      <c r="S34" s="298" t="str">
        <f>IF(OR(R34='Tabla Impacto'!$C$11,R34='Tabla Impacto'!$D$11),"Leve",IF(OR(R34='Tabla Impacto'!$C$12,R34='Tabla Impacto'!$D$12),"Menor",IF(OR(R34='Tabla Impacto'!$C$13,R34='Tabla Impacto'!$D$13),"Moderado",IF(OR(R34='Tabla Impacto'!$C$14,R34='Tabla Impacto'!$D$14),"Mayor",IF(OR(R34='Tabla Impacto'!$C$15,R34='Tabla Impacto'!$D$15),"Catastrófico","")))))</f>
        <v>Moderado</v>
      </c>
      <c r="T34" s="292">
        <f t="shared" ref="T34:T38" si="43">IF(S34="","",IF(S34="Leve",0.2,IF(S34="Menor",0.4,IF(S34="Moderado",0.6,IF(S34="Mayor",0.8,IF(S34="Catastrófico",1,))))))</f>
        <v>0.6</v>
      </c>
      <c r="U34" s="294" t="str">
        <f t="shared" ref="U34" si="44">IF(OR(AND(O34="Muy Baja",S34="Leve"),AND(O34="Muy Baja",S34="Menor"),AND(O34="Baja",S34="Leve")),"Bajo",IF(OR(AND(O34="Muy baja",S34="Moderado"),AND(O34="Baja",S34="Menor"),AND(O34="Baja",S34="Moderado"),AND(O34="Media",S34="Leve"),AND(O34="Media",S34="Menor"),AND(O34="Media",S34="Moderado"),AND(O34="Alta",S34="Leve"),AND(O34="Alta",S34="Menor")),"Moderado",IF(OR(AND(O34="Muy Baja",S34="Mayor"),AND(O34="Baja",S34="Mayor"),AND(O34="Media",S34="Mayor"),AND(O34="Alta",S34="Moderado"),AND(O34="Alta",S34="Mayor"),AND(O34="Muy Alta",S34="Leve"),AND(O34="Muy Alta",S34="Menor"),AND(O34="Muy Alta",S34="Moderado"),AND(O34="Muy Alta",S34="Mayor")),"Alto",IF(OR(AND(O34="Muy Baja",S34="Catastrófico"),AND(O34="Baja",S34="Catastrófico"),AND(O34="Media",S34="Catastrófico"),AND(O34="Alta",S34="Catastrófico"),AND(O34="Muy Alta",S34="Catastrófico")),"Extremo",""))))</f>
        <v>Moderado</v>
      </c>
      <c r="V34" s="116">
        <v>1</v>
      </c>
      <c r="W34" s="221" t="s">
        <v>288</v>
      </c>
      <c r="X34" s="88" t="str">
        <f t="shared" si="34"/>
        <v>Probabilidad</v>
      </c>
      <c r="Y34" s="89" t="s">
        <v>119</v>
      </c>
      <c r="Z34" s="89" t="s">
        <v>120</v>
      </c>
      <c r="AA34" s="90">
        <v>0.4</v>
      </c>
      <c r="AB34" s="89" t="s">
        <v>121</v>
      </c>
      <c r="AC34" s="89" t="s">
        <v>122</v>
      </c>
      <c r="AD34" s="89" t="s">
        <v>123</v>
      </c>
      <c r="AE34" s="127">
        <f t="shared" si="35"/>
        <v>0.24</v>
      </c>
      <c r="AF34" s="91" t="str">
        <f t="shared" si="36"/>
        <v>Baja</v>
      </c>
      <c r="AG34" s="92">
        <f t="shared" si="37"/>
        <v>0.24</v>
      </c>
      <c r="AH34" s="91" t="str">
        <f t="shared" si="38"/>
        <v>Moderado</v>
      </c>
      <c r="AI34" s="92">
        <f t="shared" si="39"/>
        <v>0.6</v>
      </c>
      <c r="AJ34" s="93" t="str">
        <f t="shared" si="40"/>
        <v>Moderado</v>
      </c>
      <c r="AK34" s="94" t="s">
        <v>124</v>
      </c>
      <c r="AL34" s="95" t="s">
        <v>289</v>
      </c>
      <c r="AM34" s="95" t="s">
        <v>290</v>
      </c>
      <c r="AN34" s="106" t="s">
        <v>291</v>
      </c>
      <c r="AO34" s="106" t="s">
        <v>292</v>
      </c>
      <c r="AP34" s="135" t="s">
        <v>293</v>
      </c>
      <c r="AQ34" s="96" t="s">
        <v>145</v>
      </c>
      <c r="AR34" s="95" t="s">
        <v>294</v>
      </c>
    </row>
    <row r="35" spans="1:45" ht="129.75" customHeight="1">
      <c r="A35" s="306"/>
      <c r="B35" s="357"/>
      <c r="C35" s="357"/>
      <c r="D35" s="357"/>
      <c r="E35" s="279"/>
      <c r="F35" s="279"/>
      <c r="G35" s="115" t="s">
        <v>295</v>
      </c>
      <c r="H35" s="103" t="s">
        <v>296</v>
      </c>
      <c r="I35" s="274"/>
      <c r="J35" s="274"/>
      <c r="K35" s="274"/>
      <c r="L35" s="279"/>
      <c r="M35" s="279"/>
      <c r="N35" s="278"/>
      <c r="O35" s="300"/>
      <c r="P35" s="293"/>
      <c r="Q35" s="319"/>
      <c r="R35" s="293"/>
      <c r="S35" s="300"/>
      <c r="T35" s="293"/>
      <c r="U35" s="295"/>
      <c r="V35" s="222">
        <v>2</v>
      </c>
      <c r="W35" s="221" t="s">
        <v>297</v>
      </c>
      <c r="X35" s="88" t="str">
        <f t="shared" si="34"/>
        <v>Probabilidad</v>
      </c>
      <c r="Y35" s="89" t="s">
        <v>119</v>
      </c>
      <c r="Z35" s="89" t="s">
        <v>120</v>
      </c>
      <c r="AA35" s="90" t="str">
        <f t="shared" ref="AA35" si="45">IF(AND(Y35="Preventivo",Z35="Automático"),"50%",IF(AND(Y35="Preventivo",Z35="Manual"),"40%",IF(AND(Y35="Detectivo",Z35="Automático"),"40%",IF(AND(Y35="Detectivo",Z35="Manual"),"30%",IF(AND(Y35="Correctivo",Z35="Automático"),"35%",IF(AND(Y35="Correctivo",Z35="Manual"),"25%",""))))))</f>
        <v>40%</v>
      </c>
      <c r="AB35" s="89" t="s">
        <v>121</v>
      </c>
      <c r="AC35" s="89" t="s">
        <v>155</v>
      </c>
      <c r="AD35" s="89" t="s">
        <v>123</v>
      </c>
      <c r="AE35" s="127">
        <f>IFERROR(IF(AND(X34="Probabilidad",X35="Probabilidad"),(AG34-(+AG34*AA35)),IF(X34="Probabilidad",(P34-(+P34*AA35)),IF(X35="Impacto",AG34,""))),"")</f>
        <v>0.14399999999999999</v>
      </c>
      <c r="AF35" s="91" t="str">
        <f t="shared" si="36"/>
        <v>Muy Baja</v>
      </c>
      <c r="AG35" s="92">
        <f t="shared" si="37"/>
        <v>0.14399999999999999</v>
      </c>
      <c r="AH35" s="91" t="str">
        <f t="shared" si="38"/>
        <v>Moderado</v>
      </c>
      <c r="AI35" s="92">
        <f>IFERROR(IF(AND(X34="Impacto",X35="Impacto"),(AI34-(+AI34*AA35)),IF(X35="Impacto",($T$17-(+$T$17*AA35)),IF(X35="Probabilidad",AI34,""))),"")</f>
        <v>0.6</v>
      </c>
      <c r="AJ35" s="93" t="str">
        <f t="shared" si="40"/>
        <v>Moderado</v>
      </c>
      <c r="AK35" s="94" t="s">
        <v>124</v>
      </c>
      <c r="AL35" s="95" t="s">
        <v>298</v>
      </c>
      <c r="AM35" s="95" t="s">
        <v>269</v>
      </c>
      <c r="AN35" s="106" t="s">
        <v>291</v>
      </c>
      <c r="AO35" s="106" t="s">
        <v>299</v>
      </c>
      <c r="AP35" s="135" t="s">
        <v>300</v>
      </c>
      <c r="AQ35" s="96" t="s">
        <v>130</v>
      </c>
      <c r="AR35" s="95" t="s">
        <v>301</v>
      </c>
    </row>
    <row r="36" spans="1:45" ht="200.25" customHeight="1">
      <c r="A36" s="305" t="s">
        <v>302</v>
      </c>
      <c r="B36" s="315" t="s">
        <v>256</v>
      </c>
      <c r="C36" s="315" t="s">
        <v>257</v>
      </c>
      <c r="D36" s="315" t="s">
        <v>110</v>
      </c>
      <c r="E36" s="280" t="s">
        <v>148</v>
      </c>
      <c r="F36" s="280" t="s">
        <v>303</v>
      </c>
      <c r="G36" s="280" t="s">
        <v>304</v>
      </c>
      <c r="H36" s="317" t="s">
        <v>305</v>
      </c>
      <c r="I36" s="317" t="s">
        <v>115</v>
      </c>
      <c r="J36" s="317" t="s">
        <v>115</v>
      </c>
      <c r="K36" s="317" t="s">
        <v>115</v>
      </c>
      <c r="L36" s="280" t="s">
        <v>115</v>
      </c>
      <c r="M36" s="280" t="s">
        <v>116</v>
      </c>
      <c r="N36" s="275">
        <v>9</v>
      </c>
      <c r="O36" s="298" t="str">
        <f>IF(N36&lt;=0,"",IF(N36&lt;=2,"Muy Baja",IF(N36&lt;=24,"Baja",IF(N36&lt;=500,"Media",IF(N36&lt;=5000,"Alta","Muy Alta")))))</f>
        <v>Baja</v>
      </c>
      <c r="P36" s="292">
        <f>IF(O36="","",IF(O36="Muy Baja",0.2,IF(O36="Baja",0.4,IF(O36="Media",0.6,IF(O36="Alta",0.8,IF(O36="Muy Alta",1,))))))</f>
        <v>0.4</v>
      </c>
      <c r="Q36" s="313" t="s">
        <v>117</v>
      </c>
      <c r="R36" s="292" t="str">
        <f>IF(NOT(ISERROR(MATCH(Q36,'Tabla Impacto'!$B$221:$B$223,0))),'Tabla Impacto'!$F$223&amp;"Por favor no seleccionar los criterios de impacto(Afectación Económica o presupuestal y Pérdida Reputacional)",Q36)</f>
        <v xml:space="preserve">     El riesgo afecta la imagen de la entidad con algunos usuarios de relevancia frente al logro de los objetivos</v>
      </c>
      <c r="S36" s="298" t="str">
        <f>IF(OR(R36='Tabla Impacto'!$C$11,R36='Tabla Impacto'!$D$11),"Leve",IF(OR(R36='Tabla Impacto'!$C$12,R36='Tabla Impacto'!$D$12),"Menor",IF(OR(R36='Tabla Impacto'!$C$13,R36='Tabla Impacto'!$D$13),"Moderado",IF(OR(R36='Tabla Impacto'!$C$14,R36='Tabla Impacto'!$D$14),"Mayor",IF(OR(R36='Tabla Impacto'!$C$15,R36='Tabla Impacto'!$D$15),"Catastrófico","")))))</f>
        <v>Moderado</v>
      </c>
      <c r="T36" s="292">
        <f>IF(S36="","",IF(S36="Leve",0.2,IF(S36="Menor",0.4,IF(S36="Moderado",0.6,IF(S36="Mayor",0.8,IF(S36="Catastrófico",1,))))))</f>
        <v>0.6</v>
      </c>
      <c r="U36" s="294" t="str">
        <f>IF(OR(AND(O36="Muy Baja",S36="Leve"),AND(O36="Muy Baja",S36="Menor"),AND(O36="Baja",S36="Leve")),"Bajo",IF(OR(AND(O36="Muy baja",S36="Moderado"),AND(O36="Baja",S36="Menor"),AND(O36="Baja",S36="Moderado"),AND(O36="Media",S36="Leve"),AND(O36="Media",S36="Menor"),AND(O36="Media",S36="Moderado"),AND(O36="Alta",S36="Leve"),AND(O36="Alta",S36="Menor")),"Moderado",IF(OR(AND(O36="Muy Baja",S36="Mayor"),AND(O36="Baja",S36="Mayor"),AND(O36="Media",S36="Mayor"),AND(O36="Alta",S36="Moderado"),AND(O36="Alta",S36="Mayor"),AND(O36="Muy Alta",S36="Leve"),AND(O36="Muy Alta",S36="Menor"),AND(O36="Muy Alta",S36="Moderado"),AND(O36="Muy Alta",S36="Mayor")),"Alto",IF(OR(AND(O36="Muy Baja",S36="Catastrófico"),AND(O36="Baja",S36="Catastrófico"),AND(O36="Media",S36="Catastrófico"),AND(O36="Alta",S36="Catastrófico"),AND(O36="Muy Alta",S36="Catastrófico")),"Extremo",""))))</f>
        <v>Moderado</v>
      </c>
      <c r="V36" s="219">
        <v>1</v>
      </c>
      <c r="W36" s="220" t="s">
        <v>306</v>
      </c>
      <c r="X36" s="88" t="str">
        <f t="shared" si="34"/>
        <v>Probabilidad</v>
      </c>
      <c r="Y36" s="89" t="s">
        <v>119</v>
      </c>
      <c r="Z36" s="89" t="s">
        <v>120</v>
      </c>
      <c r="AA36" s="90">
        <v>0.4</v>
      </c>
      <c r="AB36" s="89" t="s">
        <v>121</v>
      </c>
      <c r="AC36" s="89" t="s">
        <v>122</v>
      </c>
      <c r="AD36" s="89" t="s">
        <v>123</v>
      </c>
      <c r="AE36" s="127">
        <f t="shared" si="35"/>
        <v>0.24</v>
      </c>
      <c r="AF36" s="91" t="str">
        <f t="shared" si="36"/>
        <v>Baja</v>
      </c>
      <c r="AG36" s="92">
        <f t="shared" si="37"/>
        <v>0.24</v>
      </c>
      <c r="AH36" s="91" t="str">
        <f t="shared" si="38"/>
        <v>Moderado</v>
      </c>
      <c r="AI36" s="92">
        <f t="shared" si="39"/>
        <v>0.6</v>
      </c>
      <c r="AJ36" s="93" t="str">
        <f t="shared" si="40"/>
        <v>Moderado</v>
      </c>
      <c r="AK36" s="94" t="s">
        <v>124</v>
      </c>
      <c r="AL36" s="135" t="s">
        <v>307</v>
      </c>
      <c r="AM36" s="95" t="s">
        <v>308</v>
      </c>
      <c r="AN36" s="106" t="s">
        <v>291</v>
      </c>
      <c r="AO36" s="106" t="s">
        <v>281</v>
      </c>
      <c r="AP36" s="95" t="s">
        <v>309</v>
      </c>
      <c r="AQ36" s="96" t="s">
        <v>130</v>
      </c>
      <c r="AR36" s="95" t="s">
        <v>310</v>
      </c>
    </row>
    <row r="37" spans="1:45" ht="148.5" customHeight="1">
      <c r="A37" s="306"/>
      <c r="B37" s="357"/>
      <c r="C37" s="357"/>
      <c r="D37" s="357"/>
      <c r="E37" s="279"/>
      <c r="F37" s="279"/>
      <c r="G37" s="279"/>
      <c r="H37" s="274"/>
      <c r="I37" s="274"/>
      <c r="J37" s="274"/>
      <c r="K37" s="274"/>
      <c r="L37" s="279"/>
      <c r="M37" s="279"/>
      <c r="N37" s="318"/>
      <c r="O37" s="300"/>
      <c r="P37" s="293"/>
      <c r="Q37" s="319"/>
      <c r="R37" s="293"/>
      <c r="S37" s="300"/>
      <c r="T37" s="293"/>
      <c r="U37" s="295"/>
      <c r="V37" s="219">
        <v>2</v>
      </c>
      <c r="W37" s="98" t="s">
        <v>311</v>
      </c>
      <c r="X37" s="88" t="str">
        <f t="shared" ref="X37" si="46">IF(OR(Y37="Preventivo",Y37="Detectivo"),"Probabilidad",IF(Y37="Correctivo","Impacto",""))</f>
        <v>Probabilidad</v>
      </c>
      <c r="Y37" s="89" t="s">
        <v>119</v>
      </c>
      <c r="Z37" s="89" t="s">
        <v>120</v>
      </c>
      <c r="AA37" s="90" t="str">
        <f t="shared" ref="AA37" si="47">IF(AND(Y37="Preventivo",Z37="Automático"),"50%",IF(AND(Y37="Preventivo",Z37="Manual"),"40%",IF(AND(Y37="Detectivo",Z37="Automático"),"40%",IF(AND(Y37="Detectivo",Z37="Manual"),"30%",IF(AND(Y37="Correctivo",Z37="Automático"),"35%",IF(AND(Y37="Correctivo",Z37="Manual"),"25%",""))))))</f>
        <v>40%</v>
      </c>
      <c r="AB37" s="89" t="s">
        <v>121</v>
      </c>
      <c r="AC37" s="89" t="s">
        <v>155</v>
      </c>
      <c r="AD37" s="89" t="s">
        <v>123</v>
      </c>
      <c r="AE37" s="127">
        <f>IFERROR(IF(AND(X36="Probabilidad",X37="Probabilidad"),(AG36-(+AG36*AA37)),IF(X36="Probabilidad",(P36-(+P36*AA37)),IF(X37="Impacto",AG36,""))),"")</f>
        <v>0.14399999999999999</v>
      </c>
      <c r="AF37" s="91" t="str">
        <f t="shared" ref="AF37" si="48">IFERROR(IF(AE37="","",IF(AE37&lt;=0.2,"Muy Baja",IF(AE37&lt;=0.4,"Baja",IF(AE37&lt;=0.6,"Media",IF(AE37&lt;=0.8,"Alta","Muy Alta"))))),"")</f>
        <v>Muy Baja</v>
      </c>
      <c r="AG37" s="92">
        <f t="shared" ref="AG37" si="49">+AE37</f>
        <v>0.14399999999999999</v>
      </c>
      <c r="AH37" s="91" t="str">
        <f t="shared" ref="AH37" si="50">IFERROR(IF(AI37="","",IF(AI37&lt;=0.2,"Leve",IF(AI37&lt;=0.4,"Menor",IF(AI37&lt;=0.6,"Moderado",IF(AI37&lt;=0.8,"Mayor","Catastrófico"))))),"")</f>
        <v>Moderado</v>
      </c>
      <c r="AI37" s="92">
        <f>IFERROR(IF(AND(X36="Impacto",X37="Impacto"),(AI36-(+AI36*AA37)),IF(X37="Impacto",($T$17-(+$T$17*AA37)),IF(X37="Probabilidad",AI36,""))),"")</f>
        <v>0.6</v>
      </c>
      <c r="AJ37" s="93" t="str">
        <f t="shared" ref="AJ37" si="51">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Moderado</v>
      </c>
      <c r="AK37" s="94" t="s">
        <v>124</v>
      </c>
      <c r="AL37" s="135" t="s">
        <v>312</v>
      </c>
      <c r="AM37" s="95" t="s">
        <v>313</v>
      </c>
      <c r="AN37" s="106" t="s">
        <v>291</v>
      </c>
      <c r="AO37" s="106" t="s">
        <v>281</v>
      </c>
      <c r="AP37" s="135" t="s">
        <v>314</v>
      </c>
      <c r="AQ37" s="96" t="s">
        <v>145</v>
      </c>
      <c r="AR37" s="95" t="s">
        <v>315</v>
      </c>
    </row>
    <row r="38" spans="1:45" ht="169.5" customHeight="1">
      <c r="A38" s="116" t="s">
        <v>316</v>
      </c>
      <c r="B38" s="86" t="s">
        <v>256</v>
      </c>
      <c r="C38" s="86" t="s">
        <v>257</v>
      </c>
      <c r="D38" s="86" t="s">
        <v>110</v>
      </c>
      <c r="E38" s="115" t="s">
        <v>148</v>
      </c>
      <c r="F38" s="115" t="s">
        <v>317</v>
      </c>
      <c r="G38" s="115" t="s">
        <v>318</v>
      </c>
      <c r="H38" s="103" t="s">
        <v>319</v>
      </c>
      <c r="I38" s="103" t="s">
        <v>115</v>
      </c>
      <c r="J38" s="103" t="s">
        <v>115</v>
      </c>
      <c r="K38" s="103" t="s">
        <v>115</v>
      </c>
      <c r="L38" s="115" t="s">
        <v>115</v>
      </c>
      <c r="M38" s="199" t="s">
        <v>116</v>
      </c>
      <c r="N38" s="120">
        <v>9</v>
      </c>
      <c r="O38" s="118" t="str">
        <f t="shared" si="41"/>
        <v>Baja</v>
      </c>
      <c r="P38" s="117">
        <f t="shared" si="42"/>
        <v>0.4</v>
      </c>
      <c r="Q38" s="113" t="s">
        <v>166</v>
      </c>
      <c r="R38" s="109" t="str">
        <f>IF(NOT(ISERROR(MATCH(Q38,'Tabla Impacto'!$B$221:$B$223,0))),'Tabla Impacto'!$F$223&amp;"Por favor no seleccionar los criterios de impacto(Afectación Económica o presupuestal y Pérdida Reputacional)",Q38)</f>
        <v xml:space="preserve">     El riesgo afecta la imagen de de la entidad con efecto publicitario sostenido a nivel de sector administrativo, nivel departamental o municipal</v>
      </c>
      <c r="S38" s="118" t="str">
        <f>IF(OR(R38='Tabla Impacto'!$C$11,R38='Tabla Impacto'!$D$11),"Leve",IF(OR(R38='Tabla Impacto'!$C$12,R38='Tabla Impacto'!$D$12),"Menor",IF(OR(R38='Tabla Impacto'!$C$13,R38='Tabla Impacto'!$D$13),"Moderado",IF(OR(R38='Tabla Impacto'!$C$14,R38='Tabla Impacto'!$D$14),"Mayor",IF(OR(R38='Tabla Impacto'!$C$15,R38='Tabla Impacto'!$D$15),"Catastrófico","")))))</f>
        <v>Mayor</v>
      </c>
      <c r="T38" s="117">
        <f t="shared" si="43"/>
        <v>0.8</v>
      </c>
      <c r="U38" s="119" t="str">
        <f t="shared" ref="U38" si="52">IF(OR(AND(O38="Muy Baja",S38="Leve"),AND(O38="Muy Baja",S38="Menor"),AND(O38="Baja",S38="Leve")),"Bajo",IF(OR(AND(O38="Muy baja",S38="Moderado"),AND(O38="Baja",S38="Menor"),AND(O38="Baja",S38="Moderado"),AND(O38="Media",S38="Leve"),AND(O38="Media",S38="Menor"),AND(O38="Media",S38="Moderado"),AND(O38="Alta",S38="Leve"),AND(O38="Alta",S38="Menor")),"Moderado",IF(OR(AND(O38="Muy Baja",S38="Mayor"),AND(O38="Baja",S38="Mayor"),AND(O38="Media",S38="Mayor"),AND(O38="Alta",S38="Moderado"),AND(O38="Alta",S38="Mayor"),AND(O38="Muy Alta",S38="Leve"),AND(O38="Muy Alta",S38="Menor"),AND(O38="Muy Alta",S38="Moderado"),AND(O38="Muy Alta",S38="Mayor")),"Alto",IF(OR(AND(O38="Muy Baja",S38="Catastrófico"),AND(O38="Baja",S38="Catastrófico"),AND(O38="Media",S38="Catastrófico"),AND(O38="Alta",S38="Catastrófico"),AND(O38="Muy Alta",S38="Catastrófico")),"Extremo",""))))</f>
        <v>Alto</v>
      </c>
      <c r="V38" s="87">
        <v>1</v>
      </c>
      <c r="W38" s="98" t="s">
        <v>320</v>
      </c>
      <c r="X38" s="88" t="str">
        <f t="shared" si="34"/>
        <v>Probabilidad</v>
      </c>
      <c r="Y38" s="89" t="s">
        <v>119</v>
      </c>
      <c r="Z38" s="89" t="s">
        <v>120</v>
      </c>
      <c r="AA38" s="90">
        <v>0.4</v>
      </c>
      <c r="AB38" s="89" t="s">
        <v>121</v>
      </c>
      <c r="AC38" s="89" t="s">
        <v>122</v>
      </c>
      <c r="AD38" s="89" t="s">
        <v>123</v>
      </c>
      <c r="AE38" s="127">
        <f t="shared" si="35"/>
        <v>0.24</v>
      </c>
      <c r="AF38" s="91" t="str">
        <f t="shared" si="36"/>
        <v>Baja</v>
      </c>
      <c r="AG38" s="92">
        <f t="shared" si="37"/>
        <v>0.24</v>
      </c>
      <c r="AH38" s="91" t="str">
        <f t="shared" si="38"/>
        <v>Mayor</v>
      </c>
      <c r="AI38" s="92">
        <f t="shared" si="39"/>
        <v>0.8</v>
      </c>
      <c r="AJ38" s="93" t="str">
        <f t="shared" si="40"/>
        <v>Alto</v>
      </c>
      <c r="AK38" s="94" t="s">
        <v>124</v>
      </c>
      <c r="AL38" s="95" t="s">
        <v>321</v>
      </c>
      <c r="AM38" s="95" t="s">
        <v>322</v>
      </c>
      <c r="AN38" s="106" t="s">
        <v>291</v>
      </c>
      <c r="AO38" s="106" t="s">
        <v>281</v>
      </c>
      <c r="AP38" s="135" t="s">
        <v>323</v>
      </c>
      <c r="AQ38" s="96" t="s">
        <v>145</v>
      </c>
      <c r="AR38" s="95" t="s">
        <v>324</v>
      </c>
    </row>
    <row r="39" spans="1:45" ht="290.25" customHeight="1">
      <c r="A39" s="116" t="s">
        <v>325</v>
      </c>
      <c r="B39" s="86" t="s">
        <v>256</v>
      </c>
      <c r="C39" s="86" t="s">
        <v>257</v>
      </c>
      <c r="D39" s="86" t="s">
        <v>110</v>
      </c>
      <c r="E39" s="115" t="s">
        <v>148</v>
      </c>
      <c r="F39" s="115" t="s">
        <v>326</v>
      </c>
      <c r="G39" s="115" t="s">
        <v>327</v>
      </c>
      <c r="H39" s="103" t="s">
        <v>328</v>
      </c>
      <c r="I39" s="103" t="s">
        <v>115</v>
      </c>
      <c r="J39" s="103" t="s">
        <v>115</v>
      </c>
      <c r="K39" s="103" t="s">
        <v>115</v>
      </c>
      <c r="L39" s="115" t="s">
        <v>115</v>
      </c>
      <c r="M39" s="184" t="s">
        <v>116</v>
      </c>
      <c r="N39" s="120">
        <v>9</v>
      </c>
      <c r="O39" s="118" t="str">
        <f>IF(N39&lt;=0,"",IF(N39&lt;=2,"Muy Baja",IF(N39&lt;=24,"Baja",IF(N39&lt;=500,"Media",IF(N39&lt;=5000,"Alta","Muy Alta")))))</f>
        <v>Baja</v>
      </c>
      <c r="P39" s="117">
        <f t="shared" ref="P39" si="53">IF(O39="","",IF(O39="Muy Baja",0.2,IF(O39="Baja",0.4,IF(O39="Media",0.6,IF(O39="Alta",0.8,IF(O39="Muy Alta",1,))))))</f>
        <v>0.4</v>
      </c>
      <c r="Q39" s="113" t="s">
        <v>117</v>
      </c>
      <c r="R39" s="109" t="str">
        <f>IF(NOT(ISERROR(MATCH(Q39,'Tabla Impacto'!$B$221:$B$223,0))),'Tabla Impacto'!$F$223&amp;"Por favor no seleccionar los criterios de impacto(Afectación Económica o presupuestal y Pérdida Reputacional)",Q39)</f>
        <v xml:space="preserve">     El riesgo afecta la imagen de la entidad con algunos usuarios de relevancia frente al logro de los objetivos</v>
      </c>
      <c r="S39" s="118" t="str">
        <f>IF(OR(R39='Tabla Impacto'!$C$11,R39='Tabla Impacto'!$D$11),"Leve",IF(OR(R39='Tabla Impacto'!$C$12,R39='Tabla Impacto'!$D$12),"Menor",IF(OR(R39='Tabla Impacto'!$C$13,R39='Tabla Impacto'!$D$13),"Moderado",IF(OR(R39='Tabla Impacto'!$C$14,R39='Tabla Impacto'!$D$14),"Mayor",IF(OR(R39='Tabla Impacto'!$C$15,R39='Tabla Impacto'!$D$15),"Catastrófico","")))))</f>
        <v>Moderado</v>
      </c>
      <c r="T39" s="117">
        <f t="shared" ref="T39" si="54">IF(S39="","",IF(S39="Leve",0.2,IF(S39="Menor",0.4,IF(S39="Moderado",0.6,IF(S39="Mayor",0.8,IF(S39="Catastrófico",1,))))))</f>
        <v>0.6</v>
      </c>
      <c r="U39" s="119" t="str">
        <f t="shared" ref="U39" si="55">IF(OR(AND(O39="Muy Baja",S39="Leve"),AND(O39="Muy Baja",S39="Menor"),AND(O39="Baja",S39="Leve")),"Bajo",IF(OR(AND(O39="Muy baja",S39="Moderado"),AND(O39="Baja",S39="Menor"),AND(O39="Baja",S39="Moderado"),AND(O39="Media",S39="Leve"),AND(O39="Media",S39="Menor"),AND(O39="Media",S39="Moderado"),AND(O39="Alta",S39="Leve"),AND(O39="Alta",S39="Menor")),"Moderado",IF(OR(AND(O39="Muy Baja",S39="Mayor"),AND(O39="Baja",S39="Mayor"),AND(O39="Media",S39="Mayor"),AND(O39="Alta",S39="Moderado"),AND(O39="Alta",S39="Mayor"),AND(O39="Muy Alta",S39="Leve"),AND(O39="Muy Alta",S39="Menor"),AND(O39="Muy Alta",S39="Moderado"),AND(O39="Muy Alta",S39="Mayor")),"Alto",IF(OR(AND(O39="Muy Baja",S39="Catastrófico"),AND(O39="Baja",S39="Catastrófico"),AND(O39="Media",S39="Catastrófico"),AND(O39="Alta",S39="Catastrófico"),AND(O39="Muy Alta",S39="Catastrófico")),"Extremo",""))))</f>
        <v>Moderado</v>
      </c>
      <c r="V39" s="87">
        <v>1</v>
      </c>
      <c r="W39" s="98" t="s">
        <v>329</v>
      </c>
      <c r="X39" s="88" t="str">
        <f t="shared" si="34"/>
        <v>Probabilidad</v>
      </c>
      <c r="Y39" s="89" t="s">
        <v>119</v>
      </c>
      <c r="Z39" s="89" t="s">
        <v>120</v>
      </c>
      <c r="AA39" s="90">
        <v>0.4</v>
      </c>
      <c r="AB39" s="89" t="s">
        <v>121</v>
      </c>
      <c r="AC39" s="89" t="s">
        <v>122</v>
      </c>
      <c r="AD39" s="89" t="s">
        <v>123</v>
      </c>
      <c r="AE39" s="127">
        <f t="shared" si="35"/>
        <v>0.24</v>
      </c>
      <c r="AF39" s="91" t="str">
        <f t="shared" si="36"/>
        <v>Baja</v>
      </c>
      <c r="AG39" s="92">
        <f t="shared" si="37"/>
        <v>0.24</v>
      </c>
      <c r="AH39" s="91" t="str">
        <f t="shared" si="38"/>
        <v>Moderado</v>
      </c>
      <c r="AI39" s="92">
        <f t="shared" si="39"/>
        <v>0.6</v>
      </c>
      <c r="AJ39" s="93" t="str">
        <f t="shared" si="40"/>
        <v>Moderado</v>
      </c>
      <c r="AK39" s="94" t="s">
        <v>124</v>
      </c>
      <c r="AL39" s="95" t="s">
        <v>330</v>
      </c>
      <c r="AM39" s="95" t="s">
        <v>269</v>
      </c>
      <c r="AN39" s="106" t="s">
        <v>280</v>
      </c>
      <c r="AO39" s="106" t="s">
        <v>281</v>
      </c>
      <c r="AP39" s="135" t="s">
        <v>331</v>
      </c>
      <c r="AQ39" s="96" t="s">
        <v>145</v>
      </c>
      <c r="AR39" s="95" t="s">
        <v>332</v>
      </c>
    </row>
    <row r="40" spans="1:45" ht="117.75" customHeight="1">
      <c r="A40" s="355" t="s">
        <v>333</v>
      </c>
      <c r="B40" s="315" t="s">
        <v>334</v>
      </c>
      <c r="C40" s="315" t="s">
        <v>335</v>
      </c>
      <c r="D40" s="315" t="s">
        <v>110</v>
      </c>
      <c r="E40" s="315" t="s">
        <v>111</v>
      </c>
      <c r="F40" s="315" t="s">
        <v>336</v>
      </c>
      <c r="G40" s="315" t="s">
        <v>337</v>
      </c>
      <c r="H40" s="315" t="s">
        <v>338</v>
      </c>
      <c r="I40" s="317" t="s">
        <v>115</v>
      </c>
      <c r="J40" s="317" t="s">
        <v>115</v>
      </c>
      <c r="K40" s="317" t="s">
        <v>115</v>
      </c>
      <c r="L40" s="317" t="s">
        <v>115</v>
      </c>
      <c r="M40" s="280" t="s">
        <v>116</v>
      </c>
      <c r="N40" s="275">
        <v>70</v>
      </c>
      <c r="O40" s="298" t="str">
        <f>IF(N40&lt;=0,"",IF(N40&lt;=2,"Muy Baja",IF(N40&lt;=24,"Baja",IF(N40&lt;=500,"Media",IF(N40&lt;=5000,"Alta","Muy Alta")))))</f>
        <v>Media</v>
      </c>
      <c r="P40" s="292">
        <f>IF(O40="","",IF(O40="Muy Baja",0.2,IF(O40="Baja",0.4,IF(O40="Media",0.6,IF(O40="Alta",0.8,IF(O40="Muy Alta",1,))))))</f>
        <v>0.6</v>
      </c>
      <c r="Q40" s="313" t="s">
        <v>228</v>
      </c>
      <c r="R40" s="292" t="str">
        <f>IF(NOT(ISERROR(MATCH(Q40,'Tabla Impacto'!$B$221:$B$223,0))),'Tabla Impacto'!$F$223&amp;"Por favor no seleccionar los criterios de impacto(Afectación Económica o presupuestal y Pérdida Reputacional)",Q40)</f>
        <v xml:space="preserve">     El riesgo afecta la imagen de la entidad internamente, de conocimiento general, nivel interno, de junta dircetiva y accionistas y/o de provedores</v>
      </c>
      <c r="S40" s="298" t="str">
        <f>IF(OR(R40='Tabla Impacto'!$C$11,R40='Tabla Impacto'!$D$11),"Leve",IF(OR(R40='Tabla Impacto'!$C$12,R40='Tabla Impacto'!$D$12),"Menor",IF(OR(R40='Tabla Impacto'!$C$13,R40='Tabla Impacto'!$D$13),"Moderado",IF(OR(R40='Tabla Impacto'!$C$14,R40='Tabla Impacto'!$D$14),"Mayor",IF(OR(R40='Tabla Impacto'!$C$15,R40='Tabla Impacto'!$D$15),"Catastrófico","")))))</f>
        <v>Menor</v>
      </c>
      <c r="T40" s="292">
        <f>IF(S40="","",IF(S40="Leve",0.2,IF(S40="Menor",0.4,IF(S40="Moderado",0.6,IF(S40="Mayor",0.8,IF(S40="Catastrófico",1,))))))</f>
        <v>0.4</v>
      </c>
      <c r="U40" s="294" t="str">
        <f>IF(OR(AND(O40="Muy Baja",S40="Leve"),AND(O40="Muy Baja",S40="Menor"),AND(O40="Baja",S40="Leve")),"Bajo",IF(OR(AND(O40="Muy baja",S40="Moderado"),AND(O40="Baja",S40="Menor"),AND(O40="Baja",S40="Moderado"),AND(O40="Media",S40="Leve"),AND(O40="Media",S40="Menor"),AND(O40="Media",S40="Moderado"),AND(O40="Alta",S40="Leve"),AND(O40="Alta",S40="Menor")),"Moderado",IF(OR(AND(O40="Muy Baja",S40="Mayor"),AND(O40="Baja",S40="Mayor"),AND(O40="Media",S40="Mayor"),AND(O40="Alta",S40="Moderado"),AND(O40="Alta",S40="Mayor"),AND(O40="Muy Alta",S40="Leve"),AND(O40="Muy Alta",S40="Menor"),AND(O40="Muy Alta",S40="Moderado"),AND(O40="Muy Alta",S40="Mayor")),"Alto",IF(OR(AND(O40="Muy Baja",S40="Catastrófico"),AND(O40="Baja",S40="Catastrófico"),AND(O40="Media",S40="Catastrófico"),AND(O40="Alta",S40="Catastrófico"),AND(O40="Muy Alta",S40="Catastrófico")),"Extremo",""))))</f>
        <v>Moderado</v>
      </c>
      <c r="V40" s="116">
        <v>1</v>
      </c>
      <c r="W40" s="194" t="s">
        <v>339</v>
      </c>
      <c r="X40" s="190" t="str">
        <f t="shared" si="34"/>
        <v>Probabilidad</v>
      </c>
      <c r="Y40" s="94" t="s">
        <v>119</v>
      </c>
      <c r="Z40" s="94" t="s">
        <v>120</v>
      </c>
      <c r="AA40" s="92" t="str">
        <f>IF(AND(Y40="Preventivo",Z40="Automático"),"50%",IF(AND(Y40="Preventivo",Z40="Manual"),"40%",IF(AND(Y40="Detectivo",Z40="Automático"),"40%",IF(AND(Y40="Detectivo",Z40="Manual"),"30%",IF(AND(Y40="Correctivo",Z40="Automático"),"35%",IF(AND(Y40="Correctivo",Z40="Manual"),"25%",""))))))</f>
        <v>40%</v>
      </c>
      <c r="AB40" s="94" t="s">
        <v>121</v>
      </c>
      <c r="AC40" s="94" t="s">
        <v>122</v>
      </c>
      <c r="AD40" s="94" t="s">
        <v>231</v>
      </c>
      <c r="AE40" s="193">
        <v>0.36</v>
      </c>
      <c r="AF40" s="188" t="str">
        <f>IFERROR(IF(AE40="","",IF(AE40&lt;=0.2,"Muy Baja",IF(AE40&lt;=0.4,"Baja",IF(AE40&lt;=0.6,"Media",IF(AE40&lt;=0.8,"Alta","Muy Alta"))))),"")</f>
        <v>Baja</v>
      </c>
      <c r="AG40" s="92">
        <f>+AE40</f>
        <v>0.36</v>
      </c>
      <c r="AH40" s="188" t="str">
        <f>IFERROR(IF(AI40="","",IF(AI40&lt;=0.2,"Leve",IF(AI40&lt;=0.4,"Menor",IF(AI40&lt;=0.6,"Moderado",IF(AI40&lt;=0.8,"Mayor","Catastrófico"))))),"")</f>
        <v>Menor</v>
      </c>
      <c r="AI40" s="92">
        <f>IFERROR(IF(X40="Impacto",(T40-(+T40*AA40)),IF(X40="Probabilidad",T40,"")),"")</f>
        <v>0.4</v>
      </c>
      <c r="AJ40" s="186"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Moderado</v>
      </c>
      <c r="AK40" s="94" t="s">
        <v>124</v>
      </c>
      <c r="AL40" s="280" t="s">
        <v>158</v>
      </c>
      <c r="AM40" s="280" t="s">
        <v>158</v>
      </c>
      <c r="AN40" s="277" t="s">
        <v>158</v>
      </c>
      <c r="AO40" s="277" t="s">
        <v>158</v>
      </c>
      <c r="AP40" s="277" t="s">
        <v>158</v>
      </c>
      <c r="AQ40" s="277" t="s">
        <v>158</v>
      </c>
      <c r="AR40" s="277" t="s">
        <v>158</v>
      </c>
    </row>
    <row r="41" spans="1:45" ht="129" customHeight="1">
      <c r="A41" s="356"/>
      <c r="B41" s="357"/>
      <c r="C41" s="357"/>
      <c r="D41" s="357"/>
      <c r="E41" s="357"/>
      <c r="F41" s="357"/>
      <c r="G41" s="357"/>
      <c r="H41" s="357"/>
      <c r="I41" s="274"/>
      <c r="J41" s="274"/>
      <c r="K41" s="274"/>
      <c r="L41" s="274"/>
      <c r="M41" s="278"/>
      <c r="N41" s="276"/>
      <c r="O41" s="300"/>
      <c r="P41" s="293"/>
      <c r="Q41" s="319"/>
      <c r="R41" s="293"/>
      <c r="S41" s="300"/>
      <c r="T41" s="293"/>
      <c r="U41" s="295"/>
      <c r="V41" s="116">
        <v>2</v>
      </c>
      <c r="W41" s="200" t="s">
        <v>340</v>
      </c>
      <c r="X41" s="88" t="str">
        <f>IF(OR(Y41="Preventivo",Y41="Detectivo"),"Probabilidad",IF(Y41="Correctivo","Impacto",""))</f>
        <v>Impacto</v>
      </c>
      <c r="Y41" s="89" t="s">
        <v>341</v>
      </c>
      <c r="Z41" s="89" t="s">
        <v>120</v>
      </c>
      <c r="AA41" s="90" t="str">
        <f t="shared" ref="AA41" si="56">IF(AND(Y41="Preventivo",Z41="Automático"),"50%",IF(AND(Y41="Preventivo",Z41="Manual"),"40%",IF(AND(Y41="Detectivo",Z41="Automático"),"40%",IF(AND(Y41="Detectivo",Z41="Manual"),"30%",IF(AND(Y41="Correctivo",Z41="Automático"),"35%",IF(AND(Y41="Correctivo",Z41="Manual"),"25%",""))))))</f>
        <v>25%</v>
      </c>
      <c r="AB41" s="89" t="s">
        <v>121</v>
      </c>
      <c r="AC41" s="89" t="s">
        <v>122</v>
      </c>
      <c r="AD41" s="89" t="s">
        <v>123</v>
      </c>
      <c r="AE41" s="193">
        <v>0.36</v>
      </c>
      <c r="AF41" s="188" t="str">
        <f>IFERROR(IF(AE41="","",IF(AE41&lt;=0.2,"Muy Baja",IF(AE41&lt;=0.4,"Baja",IF(AE41&lt;=0.6,"Media",IF(AE41&lt;=0.8,"Alta","Muy Alta"))))),"")</f>
        <v>Baja</v>
      </c>
      <c r="AG41" s="92">
        <f>+AE41</f>
        <v>0.36</v>
      </c>
      <c r="AH41" s="91" t="str">
        <f t="shared" ref="AH41" si="57">IFERROR(IF(AI41="","",IF(AI41&lt;=0.2,"Leve",IF(AI41&lt;=0.4,"Menor",IF(AI41&lt;=0.6,"Moderado",IF(AI41&lt;=0.8,"Mayor","Catastrófico"))))),"")</f>
        <v>Leve</v>
      </c>
      <c r="AI41" s="92">
        <f>IFERROR(IF(AND(X40="Impacto",X41="Impacto"),(AI40-(+AI40*AA41)),IF(X41="Impacto",($T$17-(+$T$17*AA41)),IF(X41="Probabilidad",AI40,""))),"")</f>
        <v>0.15000000000000002</v>
      </c>
      <c r="AJ41" s="93" t="str">
        <f t="shared" ref="AJ41" si="58">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Bajo</v>
      </c>
      <c r="AK41" s="94" t="s">
        <v>156</v>
      </c>
      <c r="AL41" s="279"/>
      <c r="AM41" s="279"/>
      <c r="AN41" s="271"/>
      <c r="AO41" s="271"/>
      <c r="AP41" s="271"/>
      <c r="AQ41" s="271"/>
      <c r="AR41" s="271"/>
    </row>
    <row r="42" spans="1:45" ht="75" customHeight="1">
      <c r="A42" s="355" t="s">
        <v>342</v>
      </c>
      <c r="B42" s="315" t="s">
        <v>343</v>
      </c>
      <c r="C42" s="315" t="s">
        <v>344</v>
      </c>
      <c r="D42" s="315" t="s">
        <v>110</v>
      </c>
      <c r="E42" s="315" t="s">
        <v>148</v>
      </c>
      <c r="F42" s="315" t="s">
        <v>345</v>
      </c>
      <c r="G42" s="315" t="s">
        <v>346</v>
      </c>
      <c r="H42" s="315" t="s">
        <v>347</v>
      </c>
      <c r="I42" s="317" t="s">
        <v>115</v>
      </c>
      <c r="J42" s="317" t="s">
        <v>115</v>
      </c>
      <c r="K42" s="317" t="s">
        <v>115</v>
      </c>
      <c r="L42" s="317" t="s">
        <v>115</v>
      </c>
      <c r="M42" s="280" t="s">
        <v>116</v>
      </c>
      <c r="N42" s="275">
        <v>5001</v>
      </c>
      <c r="O42" s="298" t="str">
        <f>IF(N42&lt;=0,"",IF(N42&lt;=2,"Muy Baja",IF(N42&lt;=24,"Baja",IF(N42&lt;=500,"Media",IF(N42&lt;=5000,"Alta","Muy Alta")))))</f>
        <v>Muy Alta</v>
      </c>
      <c r="P42" s="292">
        <f>IF(O42="","",IF(O42="Muy Baja",0.2,IF(O42="Baja",0.4,IF(O42="Media",0.6,IF(O42="Alta",0.8,IF(O42="Muy Alta",1,))))))</f>
        <v>1</v>
      </c>
      <c r="Q42" s="313" t="s">
        <v>166</v>
      </c>
      <c r="R42" s="292" t="str">
        <f>IF(NOT(ISERROR(MATCH(Q42,'Tabla Impacto'!$B$221:$B$223,0))),'Tabla Impacto'!$F$223&amp;"Por favor no seleccionar los criterios de impacto(Afectación Económica o presupuestal y Pérdida Reputacional)",Q42)</f>
        <v xml:space="preserve">     El riesgo afecta la imagen de de la entidad con efecto publicitario sostenido a nivel de sector administrativo, nivel departamental o municipal</v>
      </c>
      <c r="S42" s="298" t="str">
        <f>IF(OR(R42='Tabla Impacto'!$C$11,R42='Tabla Impacto'!$D$11),"Leve",IF(OR(R42='Tabla Impacto'!$C$12,R42='Tabla Impacto'!$D$12),"Menor",IF(OR(R42='Tabla Impacto'!$C$13,R42='Tabla Impacto'!$D$13),"Moderado",IF(OR(R42='Tabla Impacto'!$C$14,R42='Tabla Impacto'!$D$14),"Mayor",IF(OR(R42='Tabla Impacto'!$C$15,R42='Tabla Impacto'!$D$15),"Catastrófico","")))))</f>
        <v>Mayor</v>
      </c>
      <c r="T42" s="292">
        <f>IF(S42="","",IF(S42="Leve",0.2,IF(S42="Menor",0.4,IF(S42="Moderado",0.6,IF(S42="Mayor",0.8,IF(S42="Catastrófico",1,))))))</f>
        <v>0.8</v>
      </c>
      <c r="U42" s="294" t="str">
        <f>IF(OR(AND(O42="Muy Baja",S42="Leve"),AND(O42="Muy Baja",S42="Menor"),AND(O42="Baja",S42="Leve")),"Bajo",IF(OR(AND(O42="Muy baja",S42="Moderado"),AND(O42="Baja",S42="Menor"),AND(O42="Baja",S42="Moderado"),AND(O42="Media",S42="Leve"),AND(O42="Media",S42="Menor"),AND(O42="Media",S42="Moderado"),AND(O42="Alta",S42="Leve"),AND(O42="Alta",S42="Menor")),"Moderado",IF(OR(AND(O42="Muy Baja",S42="Mayor"),AND(O42="Baja",S42="Mayor"),AND(O42="Media",S42="Mayor"),AND(O42="Alta",S42="Moderado"),AND(O42="Alta",S42="Mayor"),AND(O42="Muy Alta",S42="Leve"),AND(O42="Muy Alta",S42="Menor"),AND(O42="Muy Alta",S42="Moderado"),AND(O42="Muy Alta",S42="Mayor")),"Alto",IF(OR(AND(O42="Muy Baja",S42="Catastrófico"),AND(O42="Baja",S42="Catastrófico"),AND(O42="Media",S42="Catastrófico"),AND(O42="Alta",S42="Catastrófico"),AND(O42="Muy Alta",S42="Catastrófico")),"Extremo",""))))</f>
        <v>Alto</v>
      </c>
      <c r="V42" s="87">
        <v>1</v>
      </c>
      <c r="W42" s="98" t="s">
        <v>348</v>
      </c>
      <c r="X42" s="88" t="str">
        <f t="shared" si="34"/>
        <v>Probabilidad</v>
      </c>
      <c r="Y42" s="89" t="s">
        <v>119</v>
      </c>
      <c r="Z42" s="89" t="s">
        <v>120</v>
      </c>
      <c r="AA42" s="90">
        <v>0.4</v>
      </c>
      <c r="AB42" s="89" t="s">
        <v>121</v>
      </c>
      <c r="AC42" s="89" t="s">
        <v>122</v>
      </c>
      <c r="AD42" s="89" t="s">
        <v>123</v>
      </c>
      <c r="AE42" s="127">
        <f t="shared" si="35"/>
        <v>0.6</v>
      </c>
      <c r="AF42" s="91" t="str">
        <f t="shared" si="36"/>
        <v>Media</v>
      </c>
      <c r="AG42" s="92">
        <f t="shared" si="37"/>
        <v>0.6</v>
      </c>
      <c r="AH42" s="91" t="str">
        <f t="shared" si="38"/>
        <v>Mayor</v>
      </c>
      <c r="AI42" s="92">
        <f t="shared" si="39"/>
        <v>0.8</v>
      </c>
      <c r="AJ42" s="93" t="str">
        <f t="shared" si="40"/>
        <v>Alto</v>
      </c>
      <c r="AK42" s="268" t="s">
        <v>124</v>
      </c>
      <c r="AL42" s="280" t="s">
        <v>349</v>
      </c>
      <c r="AM42" s="280" t="s">
        <v>350</v>
      </c>
      <c r="AN42" s="277" t="s">
        <v>351</v>
      </c>
      <c r="AO42" s="277" t="s">
        <v>352</v>
      </c>
      <c r="AP42" s="280" t="s">
        <v>353</v>
      </c>
      <c r="AQ42" s="275" t="s">
        <v>130</v>
      </c>
      <c r="AR42" s="277" t="s">
        <v>354</v>
      </c>
      <c r="AS42" s="23"/>
    </row>
    <row r="43" spans="1:45" ht="117" customHeight="1">
      <c r="A43" s="358"/>
      <c r="B43" s="316"/>
      <c r="C43" s="316"/>
      <c r="D43" s="316"/>
      <c r="E43" s="316"/>
      <c r="F43" s="316"/>
      <c r="G43" s="316"/>
      <c r="H43" s="316"/>
      <c r="I43" s="273"/>
      <c r="J43" s="273"/>
      <c r="K43" s="273"/>
      <c r="L43" s="273"/>
      <c r="M43" s="278"/>
      <c r="N43" s="276"/>
      <c r="O43" s="299"/>
      <c r="P43" s="301"/>
      <c r="Q43" s="314"/>
      <c r="R43" s="301"/>
      <c r="S43" s="299"/>
      <c r="T43" s="301"/>
      <c r="U43" s="302"/>
      <c r="V43" s="87">
        <v>2</v>
      </c>
      <c r="W43" s="98" t="s">
        <v>355</v>
      </c>
      <c r="X43" s="88" t="str">
        <f>IF(OR(Y43="Preventivo",Y43="Detectivo"),"Probabilidad",IF(Y43="Correctivo","Impacto",""))</f>
        <v>Probabilidad</v>
      </c>
      <c r="Y43" s="89" t="s">
        <v>119</v>
      </c>
      <c r="Z43" s="89" t="s">
        <v>120</v>
      </c>
      <c r="AA43" s="90" t="str">
        <f t="shared" ref="AA43:AA45" si="59">IF(AND(Y43="Preventivo",Z43="Automático"),"50%",IF(AND(Y43="Preventivo",Z43="Manual"),"40%",IF(AND(Y43="Detectivo",Z43="Automático"),"40%",IF(AND(Y43="Detectivo",Z43="Manual"),"30%",IF(AND(Y43="Correctivo",Z43="Automático"),"35%",IF(AND(Y43="Correctivo",Z43="Manual"),"25%",""))))))</f>
        <v>40%</v>
      </c>
      <c r="AB43" s="89" t="s">
        <v>121</v>
      </c>
      <c r="AC43" s="89" t="s">
        <v>122</v>
      </c>
      <c r="AD43" s="89" t="s">
        <v>123</v>
      </c>
      <c r="AE43" s="127">
        <f>IFERROR(IF(AND(X42="Probabilidad",X43="Probabilidad"),(AG42-(+AG42*AA43)),IF(X43="Probabilidad",(P42-(+P42*AA43)),IF(X43="Impacto",AG42,""))),"")</f>
        <v>0.36</v>
      </c>
      <c r="AF43" s="91" t="str">
        <f t="shared" ref="AF43:AF45" si="60">IFERROR(IF(AE43="","",IF(AE43&lt;=0.2,"Muy Baja",IF(AE43&lt;=0.4,"Baja",IF(AE43&lt;=0.6,"Media",IF(AE43&lt;=0.8,"Alta","Muy Alta"))))),"")</f>
        <v>Baja</v>
      </c>
      <c r="AG43" s="92">
        <f t="shared" ref="AG43:AG45" si="61">+AE43</f>
        <v>0.36</v>
      </c>
      <c r="AH43" s="91" t="str">
        <f t="shared" ref="AH43:AH45" si="62">IFERROR(IF(AI43="","",IF(AI43&lt;=0.2,"Leve",IF(AI43&lt;=0.4,"Menor",IF(AI43&lt;=0.6,"Moderado",IF(AI43&lt;=0.8,"Mayor","Catastrófico"))))),"")</f>
        <v>Mayor</v>
      </c>
      <c r="AI43" s="92">
        <f>IFERROR(IF(AND(X42="Impacto",X43="Impacto"),(AI42-(+AI42*AA43)),IF(X43="Impacto",($T$15-(+$T$15*AA43)),IF(X43="Probabilidad",AI42,""))),"")</f>
        <v>0.8</v>
      </c>
      <c r="AJ43" s="93" t="str">
        <f t="shared" ref="AJ43:AJ44" si="63">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Alto</v>
      </c>
      <c r="AK43" s="281"/>
      <c r="AL43" s="279"/>
      <c r="AM43" s="279"/>
      <c r="AN43" s="271"/>
      <c r="AO43" s="271"/>
      <c r="AP43" s="279"/>
      <c r="AQ43" s="276"/>
      <c r="AR43" s="271"/>
      <c r="AS43" s="6"/>
    </row>
    <row r="44" spans="1:45" ht="117" customHeight="1">
      <c r="A44" s="358"/>
      <c r="B44" s="316"/>
      <c r="C44" s="316"/>
      <c r="D44" s="316"/>
      <c r="E44" s="316"/>
      <c r="F44" s="316"/>
      <c r="G44" s="316"/>
      <c r="H44" s="316"/>
      <c r="I44" s="273"/>
      <c r="J44" s="273"/>
      <c r="K44" s="273"/>
      <c r="L44" s="273"/>
      <c r="M44" s="278"/>
      <c r="N44" s="276"/>
      <c r="O44" s="299"/>
      <c r="P44" s="301"/>
      <c r="Q44" s="314"/>
      <c r="R44" s="301"/>
      <c r="S44" s="299"/>
      <c r="T44" s="301"/>
      <c r="U44" s="302"/>
      <c r="V44" s="87">
        <v>3</v>
      </c>
      <c r="W44" s="97" t="s">
        <v>356</v>
      </c>
      <c r="X44" s="88" t="str">
        <f t="shared" si="34"/>
        <v>Probabilidad</v>
      </c>
      <c r="Y44" s="89" t="s">
        <v>119</v>
      </c>
      <c r="Z44" s="89" t="s">
        <v>120</v>
      </c>
      <c r="AA44" s="90" t="str">
        <f t="shared" si="59"/>
        <v>40%</v>
      </c>
      <c r="AB44" s="89" t="s">
        <v>121</v>
      </c>
      <c r="AC44" s="89" t="s">
        <v>122</v>
      </c>
      <c r="AD44" s="89" t="s">
        <v>123</v>
      </c>
      <c r="AE44" s="127">
        <f>IFERROR(IF(AND(X43="Probabilidad",X44="Probabilidad"),(AG43-(+AG43*AA44)),IF(AND(X43="Impacto",X44="Probabilidad"),(AG42-(+AG42*AA44)),IF(X44="Impacto",AG43,""))),"")</f>
        <v>0.216</v>
      </c>
      <c r="AF44" s="91" t="str">
        <f t="shared" si="60"/>
        <v>Baja</v>
      </c>
      <c r="AG44" s="92">
        <f t="shared" si="61"/>
        <v>0.216</v>
      </c>
      <c r="AH44" s="91" t="str">
        <f t="shared" si="62"/>
        <v>Mayor</v>
      </c>
      <c r="AI44" s="92">
        <f>IFERROR(IF(AND(X43="Impacto",X44="Impacto"),(AI43-(+AI43*AA44)),IF(AND(X43="Probabilidad",X44="Impacto"),(AI42-(+AI42*AA44)),IF(X44="Probabilidad",AI43,""))),"")</f>
        <v>0.8</v>
      </c>
      <c r="AJ44" s="93" t="str">
        <f t="shared" si="63"/>
        <v>Alto</v>
      </c>
      <c r="AK44" s="281"/>
      <c r="AL44" s="278" t="s">
        <v>357</v>
      </c>
      <c r="AM44" s="278" t="s">
        <v>350</v>
      </c>
      <c r="AN44" s="270" t="s">
        <v>358</v>
      </c>
      <c r="AO44" s="270" t="s">
        <v>352</v>
      </c>
      <c r="AP44" s="273" t="s">
        <v>359</v>
      </c>
      <c r="AQ44" s="275" t="s">
        <v>130</v>
      </c>
      <c r="AR44" s="278" t="s">
        <v>360</v>
      </c>
      <c r="AS44" s="6"/>
    </row>
    <row r="45" spans="1:45" ht="117" customHeight="1">
      <c r="A45" s="356"/>
      <c r="B45" s="357"/>
      <c r="C45" s="357"/>
      <c r="D45" s="357"/>
      <c r="E45" s="357"/>
      <c r="F45" s="357"/>
      <c r="G45" s="357"/>
      <c r="H45" s="357"/>
      <c r="I45" s="274"/>
      <c r="J45" s="274"/>
      <c r="K45" s="274"/>
      <c r="L45" s="274"/>
      <c r="M45" s="279"/>
      <c r="N45" s="318"/>
      <c r="O45" s="300"/>
      <c r="P45" s="293"/>
      <c r="Q45" s="319"/>
      <c r="R45" s="293"/>
      <c r="S45" s="300"/>
      <c r="T45" s="293"/>
      <c r="U45" s="295"/>
      <c r="V45" s="87">
        <v>4</v>
      </c>
      <c r="W45" s="98" t="s">
        <v>361</v>
      </c>
      <c r="X45" s="88" t="str">
        <f t="shared" ref="X45" si="64">IF(OR(Y45="Preventivo",Y45="Detectivo"),"Probabilidad",IF(Y45="Correctivo","Impacto",""))</f>
        <v>Impacto</v>
      </c>
      <c r="Y45" s="89" t="s">
        <v>341</v>
      </c>
      <c r="Z45" s="89" t="s">
        <v>120</v>
      </c>
      <c r="AA45" s="90" t="str">
        <f t="shared" si="59"/>
        <v>25%</v>
      </c>
      <c r="AB45" s="89" t="s">
        <v>121</v>
      </c>
      <c r="AC45" s="89" t="s">
        <v>122</v>
      </c>
      <c r="AD45" s="89" t="s">
        <v>123</v>
      </c>
      <c r="AE45" s="127">
        <f t="shared" ref="AE45" si="65">IFERROR(IF(AND(X44="Probabilidad",X45="Probabilidad"),(AG44-(+AG44*AA45)),IF(AND(X44="Impacto",X45="Probabilidad"),(AG43-(+AG43*AA45)),IF(X45="Impacto",AG44,""))),"")</f>
        <v>0.216</v>
      </c>
      <c r="AF45" s="91" t="str">
        <f t="shared" si="60"/>
        <v>Baja</v>
      </c>
      <c r="AG45" s="92">
        <f t="shared" si="61"/>
        <v>0.216</v>
      </c>
      <c r="AH45" s="91" t="str">
        <f t="shared" si="62"/>
        <v>Moderado</v>
      </c>
      <c r="AI45" s="92">
        <f t="shared" ref="AI45" si="66">IFERROR(IF(AND(X44="Impacto",X45="Impacto"),(AI44-(+AI44*AA45)),IF(AND(X44="Probabilidad",X45="Impacto"),(AI43-(+AI43*AA45)),IF(X45="Probabilidad",AI44,""))),"")</f>
        <v>0.60000000000000009</v>
      </c>
      <c r="AJ45" s="93" t="str">
        <f>IFERROR(IF(OR(AND(AF45="Muy Baja",AH45="Leve"),AND(AF45="Muy Baja",AH45="Menor"),AND(AF45="Baja",AH45="Leve")),"Bajo",IF(OR(AND(AF45="Muy baja",AH45="Moderado"),AND(AF45="Baja",AH45="Menor"),AND(AF45="Baja",AH45="Moderado"),AND(AF45="Media",AH45="Leve"),AND(AF45="Media",AH45="Menor"),AND(AF45="Media",AH45="Moderado"),AND(AF45="Alta",AH45="Leve"),AND(AF45="Alta",AH45="Menor")),"Moderado",IF(OR(AND(AF45="Muy Baja",AH45="Mayor"),AND(AF45="Baja",AH45="Mayor"),AND(AF45="Media",AH45="Mayor"),AND(AF45="Alta",AH45="Moderado"),AND(AF45="Alta",AH45="Mayor"),AND(AF45="Muy Alta",AH45="Leve"),AND(AF45="Muy Alta",AH45="Menor"),AND(AF45="Muy Alta",AH45="Moderado"),AND(AF45="Muy Alta",AH45="Mayor")),"Alto",IF(OR(AND(AF45="Muy Baja",AH45="Catastrófico"),AND(AF45="Baja",AH45="Catastrófico"),AND(AF45="Media",AH45="Catastrófico"),AND(AF45="Alta",AH45="Catastrófico"),AND(AF45="Muy Alta",AH45="Catastrófico")),"Extremo","")))),"")</f>
        <v>Moderado</v>
      </c>
      <c r="AK45" s="269"/>
      <c r="AL45" s="279"/>
      <c r="AM45" s="279"/>
      <c r="AN45" s="271"/>
      <c r="AO45" s="272"/>
      <c r="AP45" s="274"/>
      <c r="AQ45" s="276"/>
      <c r="AR45" s="279"/>
      <c r="AS45" s="6"/>
    </row>
    <row r="46" spans="1:45" ht="105.75" customHeight="1">
      <c r="A46" s="355" t="s">
        <v>362</v>
      </c>
      <c r="B46" s="315" t="s">
        <v>343</v>
      </c>
      <c r="C46" s="315" t="s">
        <v>344</v>
      </c>
      <c r="D46" s="315" t="s">
        <v>110</v>
      </c>
      <c r="E46" s="315" t="s">
        <v>148</v>
      </c>
      <c r="F46" s="315" t="s">
        <v>363</v>
      </c>
      <c r="G46" s="315" t="s">
        <v>364</v>
      </c>
      <c r="H46" s="315" t="s">
        <v>365</v>
      </c>
      <c r="I46" s="317" t="s">
        <v>115</v>
      </c>
      <c r="J46" s="317" t="s">
        <v>115</v>
      </c>
      <c r="K46" s="317" t="s">
        <v>115</v>
      </c>
      <c r="L46" s="317" t="s">
        <v>115</v>
      </c>
      <c r="M46" s="280" t="s">
        <v>116</v>
      </c>
      <c r="N46" s="275">
        <v>2000</v>
      </c>
      <c r="O46" s="298" t="str">
        <f t="shared" ref="O46" si="67">IF(N46&lt;=0,"",IF(N46&lt;=2,"Muy Baja",IF(N46&lt;=24,"Baja",IF(N46&lt;=500,"Media",IF(N46&lt;=5000,"Alta","Muy Alta")))))</f>
        <v>Alta</v>
      </c>
      <c r="P46" s="292">
        <f t="shared" ref="P46" si="68">IF(O46="","",IF(O46="Muy Baja",0.2,IF(O46="Baja",0.4,IF(O46="Media",0.6,IF(O46="Alta",0.8,IF(O46="Muy Alta",1,))))))</f>
        <v>0.8</v>
      </c>
      <c r="Q46" s="313" t="s">
        <v>117</v>
      </c>
      <c r="R46" s="292" t="str">
        <f>IF(NOT(ISERROR(MATCH(Q46,'Tabla Impacto'!$B$221:$B$223,0))),'Tabla Impacto'!$F$223&amp;"Por favor no seleccionar los criterios de impacto(Afectación Económica o presupuestal y Pérdida Reputacional)",Q46)</f>
        <v xml:space="preserve">     El riesgo afecta la imagen de la entidad con algunos usuarios de relevancia frente al logro de los objetivos</v>
      </c>
      <c r="S46" s="298" t="str">
        <f>IF(OR(R46='Tabla Impacto'!$C$11,R46='Tabla Impacto'!$D$11),"Leve",IF(OR(R46='Tabla Impacto'!$C$12,R46='Tabla Impacto'!$D$12),"Menor",IF(OR(R46='Tabla Impacto'!$C$13,R46='Tabla Impacto'!$D$13),"Moderado",IF(OR(R46='Tabla Impacto'!$C$14,R46='Tabla Impacto'!$D$14),"Mayor",IF(OR(R46='Tabla Impacto'!$C$15,R46='Tabla Impacto'!$D$15),"Catastrófico","")))))</f>
        <v>Moderado</v>
      </c>
      <c r="T46" s="292">
        <f t="shared" ref="T46" si="69">IF(S46="","",IF(S46="Leve",0.2,IF(S46="Menor",0.4,IF(S46="Moderado",0.6,IF(S46="Mayor",0.8,IF(S46="Catastrófico",1,))))))</f>
        <v>0.6</v>
      </c>
      <c r="U46" s="294" t="str">
        <f t="shared" ref="U46" si="70">IF(OR(AND(O46="Muy Baja",S46="Leve"),AND(O46="Muy Baja",S46="Menor"),AND(O46="Baja",S46="Leve")),"Bajo",IF(OR(AND(O46="Muy baja",S46="Moderado"),AND(O46="Baja",S46="Menor"),AND(O46="Baja",S46="Moderado"),AND(O46="Media",S46="Leve"),AND(O46="Media",S46="Menor"),AND(O46="Media",S46="Moderado"),AND(O46="Alta",S46="Leve"),AND(O46="Alta",S46="Menor")),"Moderado",IF(OR(AND(O46="Muy Baja",S46="Mayor"),AND(O46="Baja",S46="Mayor"),AND(O46="Media",S46="Mayor"),AND(O46="Alta",S46="Moderado"),AND(O46="Alta",S46="Mayor"),AND(O46="Muy Alta",S46="Leve"),AND(O46="Muy Alta",S46="Menor"),AND(O46="Muy Alta",S46="Moderado"),AND(O46="Muy Alta",S46="Mayor")),"Alto",IF(OR(AND(O46="Muy Baja",S46="Catastrófico"),AND(O46="Baja",S46="Catastrófico"),AND(O46="Media",S46="Catastrófico"),AND(O46="Alta",S46="Catastrófico"),AND(O46="Muy Alta",S46="Catastrófico")),"Extremo",""))))</f>
        <v>Alto</v>
      </c>
      <c r="V46" s="305">
        <v>1</v>
      </c>
      <c r="W46" s="303" t="s">
        <v>366</v>
      </c>
      <c r="X46" s="359" t="str">
        <f>IF(OR(Y46="Preventivo",Y46="Detectivo"),"Probabilidad",IF(Y46="Correctivo","Impacto",""))</f>
        <v>Probabilidad</v>
      </c>
      <c r="Y46" s="372" t="s">
        <v>119</v>
      </c>
      <c r="Z46" s="268" t="s">
        <v>120</v>
      </c>
      <c r="AA46" s="362">
        <v>0.4</v>
      </c>
      <c r="AB46" s="268" t="s">
        <v>121</v>
      </c>
      <c r="AC46" s="268" t="s">
        <v>122</v>
      </c>
      <c r="AD46" s="268" t="s">
        <v>123</v>
      </c>
      <c r="AE46" s="365">
        <f>IFERROR(IF(X46="Probabilidad",(P46-(+P46*AA46)),IF(X46="Impacto",P46,"")),"")</f>
        <v>0.48</v>
      </c>
      <c r="AF46" s="290" t="str">
        <f>IFERROR(IF(AE46="","",IF(AE46&lt;=0.2,"Muy Baja",IF(AE46&lt;=0.4,"Baja",IF(AE46&lt;=0.6,"Media",IF(AE46&lt;=0.8,"Alta","Muy Alta"))))),"")</f>
        <v>Media</v>
      </c>
      <c r="AG46" s="362">
        <f>+AE46</f>
        <v>0.48</v>
      </c>
      <c r="AH46" s="290" t="str">
        <f>IFERROR(IF(AI46="","",IF(AI46&lt;=0.2,"Leve",IF(AI46&lt;=0.4,"Menor",IF(AI46&lt;=0.6,"Moderado",IF(AI46&lt;=0.8,"Mayor","Catastrófico"))))),"")</f>
        <v>Moderado</v>
      </c>
      <c r="AI46" s="362">
        <f>IFERROR(IF(X46="Impacto",(T46-(+T46*AA46)),IF(X46="Probabilidad",T46,"")),"")</f>
        <v>0.6</v>
      </c>
      <c r="AJ46" s="369"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Moderado</v>
      </c>
      <c r="AK46" s="268" t="s">
        <v>124</v>
      </c>
      <c r="AL46" s="95" t="s">
        <v>367</v>
      </c>
      <c r="AM46" s="95" t="s">
        <v>368</v>
      </c>
      <c r="AN46" s="106" t="s">
        <v>369</v>
      </c>
      <c r="AO46" s="106" t="s">
        <v>370</v>
      </c>
      <c r="AP46" s="95" t="s">
        <v>371</v>
      </c>
      <c r="AQ46" s="96" t="s">
        <v>130</v>
      </c>
      <c r="AR46" s="95" t="s">
        <v>372</v>
      </c>
    </row>
    <row r="47" spans="1:45" ht="99" customHeight="1">
      <c r="A47" s="356"/>
      <c r="B47" s="357"/>
      <c r="C47" s="357"/>
      <c r="D47" s="357"/>
      <c r="E47" s="357"/>
      <c r="F47" s="357"/>
      <c r="G47" s="357"/>
      <c r="H47" s="357"/>
      <c r="I47" s="274"/>
      <c r="J47" s="274"/>
      <c r="K47" s="274"/>
      <c r="L47" s="274"/>
      <c r="M47" s="278"/>
      <c r="N47" s="318"/>
      <c r="O47" s="300"/>
      <c r="P47" s="293"/>
      <c r="Q47" s="319"/>
      <c r="R47" s="293"/>
      <c r="S47" s="300"/>
      <c r="T47" s="293"/>
      <c r="U47" s="295"/>
      <c r="V47" s="306"/>
      <c r="W47" s="304"/>
      <c r="X47" s="361"/>
      <c r="Y47" s="373"/>
      <c r="Z47" s="269"/>
      <c r="AA47" s="364"/>
      <c r="AB47" s="269"/>
      <c r="AC47" s="269"/>
      <c r="AD47" s="269"/>
      <c r="AE47" s="366"/>
      <c r="AF47" s="291"/>
      <c r="AG47" s="364"/>
      <c r="AH47" s="291"/>
      <c r="AI47" s="364"/>
      <c r="AJ47" s="370"/>
      <c r="AK47" s="269"/>
      <c r="AL47" s="95" t="s">
        <v>373</v>
      </c>
      <c r="AM47" s="95" t="s">
        <v>368</v>
      </c>
      <c r="AN47" s="106" t="s">
        <v>369</v>
      </c>
      <c r="AO47" s="106" t="s">
        <v>370</v>
      </c>
      <c r="AP47" s="95" t="s">
        <v>374</v>
      </c>
      <c r="AQ47" s="96" t="s">
        <v>130</v>
      </c>
      <c r="AR47" s="95" t="s">
        <v>372</v>
      </c>
    </row>
    <row r="48" spans="1:45" ht="243" customHeight="1">
      <c r="A48" s="107" t="s">
        <v>375</v>
      </c>
      <c r="B48" s="86" t="s">
        <v>376</v>
      </c>
      <c r="C48" s="86" t="s">
        <v>377</v>
      </c>
      <c r="D48" s="86" t="s">
        <v>110</v>
      </c>
      <c r="E48" s="86" t="s">
        <v>148</v>
      </c>
      <c r="F48" s="86" t="s">
        <v>378</v>
      </c>
      <c r="G48" s="86" t="s">
        <v>379</v>
      </c>
      <c r="H48" s="86" t="s">
        <v>380</v>
      </c>
      <c r="I48" s="103" t="s">
        <v>115</v>
      </c>
      <c r="J48" s="103" t="s">
        <v>115</v>
      </c>
      <c r="K48" s="103" t="s">
        <v>115</v>
      </c>
      <c r="L48" s="103" t="s">
        <v>115</v>
      </c>
      <c r="M48" s="115" t="s">
        <v>116</v>
      </c>
      <c r="N48" s="120">
        <v>365</v>
      </c>
      <c r="O48" s="118" t="str">
        <f>IF(N48&lt;=0,"",IF(N48&lt;=2,"Muy Baja",IF(N48&lt;=24,"Baja",IF(N48&lt;=500,"Media",IF(N48&lt;=5000,"Alta","Muy Alta")))))</f>
        <v>Media</v>
      </c>
      <c r="P48" s="117">
        <f>IF(O48="","",IF(O48="Muy Baja",0.2,IF(O48="Baja",0.4,IF(O48="Media",0.6,IF(O48="Alta",0.8,IF(O48="Muy Alta",1,))))))</f>
        <v>0.6</v>
      </c>
      <c r="Q48" s="192" t="s">
        <v>228</v>
      </c>
      <c r="R48" s="117" t="str">
        <f>IF(NOT(ISERROR(MATCH(Q48,'Tabla Impacto'!$B$221:$B$223,0))),'Tabla Impacto'!$F$223&amp;"Por favor no seleccionar los criterios de impacto(Afectación Económica o presupuestal y Pérdida Reputacional)",Q48)</f>
        <v xml:space="preserve">     El riesgo afecta la imagen de la entidad internamente, de conocimiento general, nivel interno, de junta dircetiva y accionistas y/o de provedores</v>
      </c>
      <c r="S48" s="118" t="str">
        <f>IF(OR(R48='Tabla Impacto'!$C$11,R48='Tabla Impacto'!$D$11),"Leve",IF(OR(R48='Tabla Impacto'!$C$12,R48='Tabla Impacto'!$D$12),"Menor",IF(OR(R48='Tabla Impacto'!$C$13,R48='Tabla Impacto'!$D$13),"Moderado",IF(OR(R48='Tabla Impacto'!$C$14,R48='Tabla Impacto'!$D$14),"Mayor",IF(OR(R48='Tabla Impacto'!$C$15,R48='Tabla Impacto'!$D$15),"Catastrófico","")))))</f>
        <v>Menor</v>
      </c>
      <c r="T48" s="117">
        <f>IF(S48="","",IF(S48="Leve",0.2,IF(S48="Menor",0.4,IF(S48="Moderado",0.6,IF(S48="Mayor",0.8,IF(S48="Catastrófico",1,))))))</f>
        <v>0.4</v>
      </c>
      <c r="U48" s="119" t="str">
        <f>IF(OR(AND(O48="Muy Baja",S48="Leve"),AND(O48="Muy Baja",S48="Menor"),AND(O48="Baja",S48="Leve")),"Bajo",IF(OR(AND(O48="Muy baja",S48="Moderado"),AND(O48="Baja",S48="Menor"),AND(O48="Baja",S48="Moderado"),AND(O48="Media",S48="Leve"),AND(O48="Media",S48="Menor"),AND(O48="Media",S48="Moderado"),AND(O48="Alta",S48="Leve"),AND(O48="Alta",S48="Menor")),"Moderado",IF(OR(AND(O48="Muy Baja",S48="Mayor"),AND(O48="Baja",S48="Mayor"),AND(O48="Media",S48="Mayor"),AND(O48="Alta",S48="Moderado"),AND(O48="Alta",S48="Mayor"),AND(O48="Muy Alta",S48="Leve"),AND(O48="Muy Alta",S48="Menor"),AND(O48="Muy Alta",S48="Moderado"),AND(O48="Muy Alta",S48="Mayor")),"Alto",IF(OR(AND(O48="Muy Baja",S48="Catastrófico"),AND(O48="Baja",S48="Catastrófico"),AND(O48="Media",S48="Catastrófico"),AND(O48="Alta",S48="Catastrófico"),AND(O48="Muy Alta",S48="Catastrófico")),"Extremo",""))))</f>
        <v>Moderado</v>
      </c>
      <c r="V48" s="116">
        <v>1</v>
      </c>
      <c r="W48" s="197" t="s">
        <v>381</v>
      </c>
      <c r="X48" s="190" t="str">
        <f>IF(OR(Y48="Preventivo",Y48="Detectivo"),"Probabilidad",IF(Y48="Correctivo","Impacto",""))</f>
        <v>Probabilidad</v>
      </c>
      <c r="Y48" s="198" t="s">
        <v>119</v>
      </c>
      <c r="Z48" s="94" t="s">
        <v>120</v>
      </c>
      <c r="AA48" s="187" t="str">
        <f t="shared" ref="AA48" si="71">IF(AND(Y48="Preventivo",Z48="Automático"),"50%",IF(AND(Y48="Preventivo",Z48="Manual"),"40%",IF(AND(Y48="Detectivo",Z48="Automático"),"40%",IF(AND(Y48="Detectivo",Z48="Manual"),"30%",IF(AND(Y48="Correctivo",Z48="Automático"),"35%",IF(AND(Y48="Correctivo",Z48="Manual"),"25%",""))))))</f>
        <v>40%</v>
      </c>
      <c r="AB48" s="94" t="s">
        <v>121</v>
      </c>
      <c r="AC48" s="189" t="s">
        <v>122</v>
      </c>
      <c r="AD48" s="94" t="s">
        <v>123</v>
      </c>
      <c r="AE48" s="193">
        <v>0.36</v>
      </c>
      <c r="AF48" s="188" t="str">
        <f>IFERROR(IF(AE48="","",IF(AE48&lt;=0.2,"Muy Baja",IF(AE48&lt;=0.4,"Baja",IF(AE48&lt;=0.6,"Media",IF(AE48&lt;=0.8,"Alta","Muy Alta"))))),"")</f>
        <v>Baja</v>
      </c>
      <c r="AG48" s="92">
        <f>+AE48</f>
        <v>0.36</v>
      </c>
      <c r="AH48" s="188" t="str">
        <f>IFERROR(IF(AI48="","",IF(AI48&lt;=0.2,"Leve",IF(AI48&lt;=0.4,"Menor",IF(AI48&lt;=0.6,"Moderado",IF(AI48&lt;=0.8,"Mayor","Catastrófico"))))),"")</f>
        <v>Menor</v>
      </c>
      <c r="AI48" s="92">
        <f>IFERROR(IF(X48="Impacto",(T48-(+T48*AA48)),IF(X48="Probabilidad",T48,"")),"")</f>
        <v>0.4</v>
      </c>
      <c r="AJ48" s="186"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Moderado</v>
      </c>
      <c r="AK48" s="185" t="s">
        <v>124</v>
      </c>
      <c r="AL48" s="95" t="s">
        <v>382</v>
      </c>
      <c r="AM48" s="95" t="s">
        <v>383</v>
      </c>
      <c r="AN48" s="106" t="s">
        <v>216</v>
      </c>
      <c r="AO48" s="106" t="s">
        <v>384</v>
      </c>
      <c r="AP48" s="95" t="s">
        <v>385</v>
      </c>
      <c r="AQ48" s="96" t="s">
        <v>130</v>
      </c>
      <c r="AR48" s="95" t="s">
        <v>386</v>
      </c>
    </row>
    <row r="49" spans="1:44" ht="145.5" customHeight="1">
      <c r="A49" s="225" t="s">
        <v>387</v>
      </c>
      <c r="B49" s="86" t="s">
        <v>388</v>
      </c>
      <c r="C49" s="86" t="s">
        <v>389</v>
      </c>
      <c r="D49" s="86" t="s">
        <v>110</v>
      </c>
      <c r="E49" s="223" t="s">
        <v>148</v>
      </c>
      <c r="F49" s="86" t="s">
        <v>390</v>
      </c>
      <c r="G49" s="86" t="s">
        <v>391</v>
      </c>
      <c r="H49" s="86" t="s">
        <v>392</v>
      </c>
      <c r="I49" s="103" t="s">
        <v>115</v>
      </c>
      <c r="J49" s="103" t="s">
        <v>115</v>
      </c>
      <c r="K49" s="103" t="s">
        <v>115</v>
      </c>
      <c r="L49" s="103" t="s">
        <v>115</v>
      </c>
      <c r="M49" s="115" t="s">
        <v>116</v>
      </c>
      <c r="N49" s="120">
        <v>40</v>
      </c>
      <c r="O49" s="118" t="str">
        <f t="shared" ref="O49" si="72">IF(N49&lt;=0,"",IF(N49&lt;=2,"Muy Baja",IF(N49&lt;=24,"Baja",IF(N49&lt;=500,"Media",IF(N49&lt;=5000,"Alta","Muy Alta")))))</f>
        <v>Media</v>
      </c>
      <c r="P49" s="117">
        <f t="shared" ref="P49" si="73">IF(O49="","",IF(O49="Muy Baja",0.2,IF(O49="Baja",0.4,IF(O49="Media",0.6,IF(O49="Alta",0.8,IF(O49="Muy Alta",1,))))))</f>
        <v>0.6</v>
      </c>
      <c r="Q49" s="192" t="s">
        <v>393</v>
      </c>
      <c r="R49" s="117" t="str">
        <f>IF(NOT(ISERROR(MATCH(Q49,'Tabla Impacto'!$B$221:$B$223,0))),'Tabla Impacto'!$F$223&amp;"Por favor no seleccionar los criterios de impacto(Afectación Económica o presupuestal y Pérdida Reputacional)",Q49)</f>
        <v xml:space="preserve">     Entre 10 y 50 SMLMV </v>
      </c>
      <c r="S49" s="118" t="str">
        <f>IF(OR(R49='Tabla Impacto'!$C$11,R49='Tabla Impacto'!$D$11),"Leve",IF(OR(R49='Tabla Impacto'!$C$12,R49='Tabla Impacto'!$D$12),"Menor",IF(OR(R49='Tabla Impacto'!$C$13,R49='Tabla Impacto'!$D$13),"Moderado",IF(OR(R49='Tabla Impacto'!$C$14,R49='Tabla Impacto'!$D$14),"Mayor",IF(OR(R49='Tabla Impacto'!$C$15,R49='Tabla Impacto'!$D$15),"Catastrófico","")))))</f>
        <v>Menor</v>
      </c>
      <c r="T49" s="117">
        <f t="shared" ref="T49" si="74">IF(S49="","",IF(S49="Leve",0.2,IF(S49="Menor",0.4,IF(S49="Moderado",0.6,IF(S49="Mayor",0.8,IF(S49="Catastrófico",1,))))))</f>
        <v>0.4</v>
      </c>
      <c r="U49" s="119" t="str">
        <f t="shared" ref="U49" si="75">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Moderado</v>
      </c>
      <c r="V49" s="116">
        <v>1</v>
      </c>
      <c r="W49" s="224" t="s">
        <v>394</v>
      </c>
      <c r="X49" s="190" t="str">
        <f>IF(OR(Y49="Preventivo",Y49="Detectivo"),"Probabilidad",IF(Y49="Correctivo","Impacto",""))</f>
        <v>Probabilidad</v>
      </c>
      <c r="Y49" s="94" t="s">
        <v>119</v>
      </c>
      <c r="Z49" s="94" t="s">
        <v>120</v>
      </c>
      <c r="AA49" s="187" t="str">
        <f t="shared" ref="AA49" si="76">IF(AND(Y49="Preventivo",Z49="Automático"),"50%",IF(AND(Y49="Preventivo",Z49="Manual"),"40%",IF(AND(Y49="Detectivo",Z49="Automático"),"40%",IF(AND(Y49="Detectivo",Z49="Manual"),"30%",IF(AND(Y49="Correctivo",Z49="Automático"),"35%",IF(AND(Y49="Correctivo",Z49="Manual"),"25%",""))))))</f>
        <v>40%</v>
      </c>
      <c r="AB49" s="94" t="s">
        <v>121</v>
      </c>
      <c r="AC49" s="189" t="s">
        <v>122</v>
      </c>
      <c r="AD49" s="94" t="s">
        <v>123</v>
      </c>
      <c r="AE49" s="193">
        <f>IFERROR(IF(X49="Probabilidad",(P49-(+P49*AA49)),IF(X49="Impacto",P49,"")),"")</f>
        <v>0.36</v>
      </c>
      <c r="AF49" s="188" t="str">
        <f t="shared" ref="AF49" si="77">IFERROR(IF(AE49="","",IF(AE49&lt;=0.2,"Muy Baja",IF(AE49&lt;=0.4,"Baja",IF(AE49&lt;=0.6,"Media",IF(AE49&lt;=0.8,"Alta","Muy Alta"))))),"")</f>
        <v>Baja</v>
      </c>
      <c r="AG49" s="187">
        <f t="shared" ref="AG49" si="78">+AE49</f>
        <v>0.36</v>
      </c>
      <c r="AH49" s="188" t="str">
        <f t="shared" ref="AH49" si="79">IFERROR(IF(AI49="","",IF(AI49&lt;=0.2,"Leve",IF(AI49&lt;=0.4,"Menor",IF(AI49&lt;=0.6,"Moderado",IF(AI49&lt;=0.8,"Mayor","Catastrófico"))))),"")</f>
        <v>Menor</v>
      </c>
      <c r="AI49" s="187">
        <f>IFERROR(IF(X49="Impacto",(T49-(+T49*AA49)),IF(X49="Probabilidad",T49,"")),"")</f>
        <v>0.4</v>
      </c>
      <c r="AJ49" s="186" t="str">
        <f t="shared" ref="AJ49" si="80">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Moderado</v>
      </c>
      <c r="AK49" s="185" t="s">
        <v>124</v>
      </c>
      <c r="AL49" s="95" t="s">
        <v>395</v>
      </c>
      <c r="AM49" s="95" t="s">
        <v>396</v>
      </c>
      <c r="AN49" s="106" t="s">
        <v>216</v>
      </c>
      <c r="AO49" s="106" t="s">
        <v>397</v>
      </c>
      <c r="AP49" s="95" t="s">
        <v>398</v>
      </c>
      <c r="AQ49" s="96" t="s">
        <v>130</v>
      </c>
      <c r="AR49" s="95" t="s">
        <v>399</v>
      </c>
    </row>
    <row r="50" spans="1:44" ht="122.25" customHeight="1">
      <c r="A50" s="320" t="s">
        <v>400</v>
      </c>
      <c r="B50" s="315" t="s">
        <v>388</v>
      </c>
      <c r="C50" s="315" t="s">
        <v>389</v>
      </c>
      <c r="D50" s="315" t="s">
        <v>110</v>
      </c>
      <c r="E50" s="315" t="s">
        <v>148</v>
      </c>
      <c r="F50" s="315" t="s">
        <v>401</v>
      </c>
      <c r="G50" s="315" t="s">
        <v>402</v>
      </c>
      <c r="H50" s="315" t="s">
        <v>403</v>
      </c>
      <c r="I50" s="317" t="s">
        <v>115</v>
      </c>
      <c r="J50" s="317" t="s">
        <v>115</v>
      </c>
      <c r="K50" s="317" t="s">
        <v>115</v>
      </c>
      <c r="L50" s="317" t="s">
        <v>115</v>
      </c>
      <c r="M50" s="280" t="s">
        <v>116</v>
      </c>
      <c r="N50" s="275">
        <v>34</v>
      </c>
      <c r="O50" s="298" t="str">
        <f t="shared" ref="O50" si="81">IF(N50&lt;=0,"",IF(N50&lt;=2,"Muy Baja",IF(N50&lt;=24,"Baja",IF(N50&lt;=500,"Media",IF(N50&lt;=5000,"Alta","Muy Alta")))))</f>
        <v>Media</v>
      </c>
      <c r="P50" s="292">
        <f t="shared" ref="P50" si="82">IF(O50="","",IF(O50="Muy Baja",0.2,IF(O50="Baja",0.4,IF(O50="Media",0.6,IF(O50="Alta",0.8,IF(O50="Muy Alta",1,))))))</f>
        <v>0.6</v>
      </c>
      <c r="Q50" s="313" t="s">
        <v>393</v>
      </c>
      <c r="R50" s="292" t="str">
        <f>IF(NOT(ISERROR(MATCH(Q50,'Tabla Impacto'!$B$221:$B$223,0))),'Tabla Impacto'!$F$223&amp;"Por favor no seleccionar los criterios de impacto(Afectación Económica o presupuestal y Pérdida Reputacional)",Q50)</f>
        <v xml:space="preserve">     Entre 10 y 50 SMLMV </v>
      </c>
      <c r="S50" s="298" t="str">
        <f>IF(OR(R50='Tabla Impacto'!$C$11,R50='Tabla Impacto'!$D$11),"Leve",IF(OR(R50='Tabla Impacto'!$C$12,R50='Tabla Impacto'!$D$12),"Menor",IF(OR(R50='Tabla Impacto'!$C$13,R50='Tabla Impacto'!$D$13),"Moderado",IF(OR(R50='Tabla Impacto'!$C$14,R50='Tabla Impacto'!$D$14),"Mayor",IF(OR(R50='Tabla Impacto'!$C$15,R50='Tabla Impacto'!$D$15),"Catastrófico","")))))</f>
        <v>Menor</v>
      </c>
      <c r="T50" s="292">
        <f t="shared" ref="T50" si="83">IF(S50="","",IF(S50="Leve",0.2,IF(S50="Menor",0.4,IF(S50="Moderado",0.6,IF(S50="Mayor",0.8,IF(S50="Catastrófico",1,))))))</f>
        <v>0.4</v>
      </c>
      <c r="U50" s="294" t="str">
        <f t="shared" ref="U50" si="84">IF(OR(AND(O50="Muy Baja",S50="Leve"),AND(O50="Muy Baja",S50="Menor"),AND(O50="Baja",S50="Leve")),"Bajo",IF(OR(AND(O50="Muy baja",S50="Moderado"),AND(O50="Baja",S50="Menor"),AND(O50="Baja",S50="Moderado"),AND(O50="Media",S50="Leve"),AND(O50="Media",S50="Menor"),AND(O50="Media",S50="Moderado"),AND(O50="Alta",S50="Leve"),AND(O50="Alta",S50="Menor")),"Moderado",IF(OR(AND(O50="Muy Baja",S50="Mayor"),AND(O50="Baja",S50="Mayor"),AND(O50="Media",S50="Mayor"),AND(O50="Alta",S50="Moderado"),AND(O50="Alta",S50="Mayor"),AND(O50="Muy Alta",S50="Leve"),AND(O50="Muy Alta",S50="Menor"),AND(O50="Muy Alta",S50="Moderado"),AND(O50="Muy Alta",S50="Mayor")),"Alto",IF(OR(AND(O50="Muy Baja",S50="Catastrófico"),AND(O50="Baja",S50="Catastrófico"),AND(O50="Media",S50="Catastrófico"),AND(O50="Alta",S50="Catastrófico"),AND(O50="Muy Alta",S50="Catastrófico")),"Extremo",""))))</f>
        <v>Moderado</v>
      </c>
      <c r="V50" s="305">
        <v>1</v>
      </c>
      <c r="W50" s="311" t="s">
        <v>404</v>
      </c>
      <c r="X50" s="359" t="str">
        <f>IF(OR(Y50="Preventivo",Y50="Detectivo"),"Probabilidad",IF(Y50="Correctivo","Impacto",""))</f>
        <v>Probabilidad</v>
      </c>
      <c r="Y50" s="268" t="s">
        <v>119</v>
      </c>
      <c r="Z50" s="268" t="s">
        <v>120</v>
      </c>
      <c r="AA50" s="284" t="str">
        <f t="shared" ref="AA50" si="85">IF(AND(Y50="Preventivo",Z50="Automático"),"50%",IF(AND(Y50="Preventivo",Z50="Manual"),"40%",IF(AND(Y50="Detectivo",Z50="Automático"),"40%",IF(AND(Y50="Detectivo",Z50="Manual"),"30%",IF(AND(Y50="Correctivo",Z50="Automático"),"35%",IF(AND(Y50="Correctivo",Z50="Manual"),"25%",""))))))</f>
        <v>40%</v>
      </c>
      <c r="AB50" s="268" t="s">
        <v>121</v>
      </c>
      <c r="AC50" s="286" t="s">
        <v>122</v>
      </c>
      <c r="AD50" s="268" t="s">
        <v>123</v>
      </c>
      <c r="AE50" s="288">
        <f>IFERROR(IF(X50="Probabilidad",(P50-(+P50*AA50)),IF(X50="Impacto",P50,"")),"")</f>
        <v>0.36</v>
      </c>
      <c r="AF50" s="290" t="str">
        <f t="shared" ref="AF50" si="86">IFERROR(IF(AE50="","",IF(AE50&lt;=0.2,"Muy Baja",IF(AE50&lt;=0.4,"Baja",IF(AE50&lt;=0.6,"Media",IF(AE50&lt;=0.8,"Alta","Muy Alta"))))),"")</f>
        <v>Baja</v>
      </c>
      <c r="AG50" s="284">
        <f t="shared" ref="AG50" si="87">+AE50</f>
        <v>0.36</v>
      </c>
      <c r="AH50" s="290" t="str">
        <f t="shared" ref="AH50" si="88">IFERROR(IF(AI50="","",IF(AI50&lt;=0.2,"Leve",IF(AI50&lt;=0.4,"Menor",IF(AI50&lt;=0.6,"Moderado",IF(AI50&lt;=0.8,"Mayor","Catastrófico"))))),"")</f>
        <v>Menor</v>
      </c>
      <c r="AI50" s="284">
        <f>IFERROR(IF(X50="Impacto",(T50-(+T50*AA50)),IF(X50="Probabilidad",T50,"")),"")</f>
        <v>0.4</v>
      </c>
      <c r="AJ50" s="369" t="str">
        <f t="shared" ref="AJ50" si="89">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Moderado</v>
      </c>
      <c r="AK50" s="282" t="s">
        <v>124</v>
      </c>
      <c r="AL50" s="95" t="s">
        <v>405</v>
      </c>
      <c r="AM50" s="95" t="s">
        <v>406</v>
      </c>
      <c r="AN50" s="95" t="s">
        <v>216</v>
      </c>
      <c r="AO50" s="106" t="s">
        <v>407</v>
      </c>
      <c r="AP50" s="95" t="s">
        <v>408</v>
      </c>
      <c r="AQ50" s="96" t="s">
        <v>130</v>
      </c>
      <c r="AR50" s="95" t="s">
        <v>409</v>
      </c>
    </row>
    <row r="51" spans="1:44" ht="141.75" customHeight="1">
      <c r="A51" s="321"/>
      <c r="B51" s="316"/>
      <c r="C51" s="316"/>
      <c r="D51" s="316"/>
      <c r="E51" s="316"/>
      <c r="F51" s="316"/>
      <c r="G51" s="316"/>
      <c r="H51" s="316"/>
      <c r="I51" s="274"/>
      <c r="J51" s="274"/>
      <c r="K51" s="274"/>
      <c r="L51" s="274"/>
      <c r="M51" s="278"/>
      <c r="N51" s="318"/>
      <c r="O51" s="300"/>
      <c r="P51" s="293"/>
      <c r="Q51" s="319"/>
      <c r="R51" s="293"/>
      <c r="S51" s="300"/>
      <c r="T51" s="293"/>
      <c r="U51" s="295"/>
      <c r="V51" s="306"/>
      <c r="W51" s="312"/>
      <c r="X51" s="361"/>
      <c r="Y51" s="269"/>
      <c r="Z51" s="269"/>
      <c r="AA51" s="285"/>
      <c r="AB51" s="269"/>
      <c r="AC51" s="287"/>
      <c r="AD51" s="269"/>
      <c r="AE51" s="289"/>
      <c r="AF51" s="291"/>
      <c r="AG51" s="285"/>
      <c r="AH51" s="291"/>
      <c r="AI51" s="285"/>
      <c r="AJ51" s="370"/>
      <c r="AK51" s="283"/>
      <c r="AL51" s="95" t="s">
        <v>410</v>
      </c>
      <c r="AM51" s="95" t="s">
        <v>411</v>
      </c>
      <c r="AN51" s="95" t="s">
        <v>216</v>
      </c>
      <c r="AO51" s="106" t="s">
        <v>412</v>
      </c>
      <c r="AP51" s="95" t="s">
        <v>413</v>
      </c>
      <c r="AQ51" s="96" t="s">
        <v>130</v>
      </c>
      <c r="AR51" s="95" t="s">
        <v>414</v>
      </c>
    </row>
    <row r="52" spans="1:44" ht="124.5" customHeight="1">
      <c r="A52" s="107" t="s">
        <v>415</v>
      </c>
      <c r="B52" s="86" t="s">
        <v>388</v>
      </c>
      <c r="C52" s="86" t="s">
        <v>389</v>
      </c>
      <c r="D52" s="86" t="s">
        <v>110</v>
      </c>
      <c r="E52" s="86" t="s">
        <v>148</v>
      </c>
      <c r="F52" s="86" t="s">
        <v>416</v>
      </c>
      <c r="G52" s="86" t="s">
        <v>417</v>
      </c>
      <c r="H52" s="86" t="s">
        <v>418</v>
      </c>
      <c r="I52" s="112" t="s">
        <v>115</v>
      </c>
      <c r="J52" s="103" t="s">
        <v>115</v>
      </c>
      <c r="K52" s="103" t="s">
        <v>115</v>
      </c>
      <c r="L52" s="103" t="s">
        <v>115</v>
      </c>
      <c r="M52" s="115" t="s">
        <v>116</v>
      </c>
      <c r="N52" s="120">
        <v>1</v>
      </c>
      <c r="O52" s="118" t="str">
        <f>IF(N52&lt;=0,"",IF(N52&lt;=2,"Muy Baja",IF(N52&lt;=24,"Baja",IF(N52&lt;=500,"Media",IF(N52&lt;=5000,"Alta","Muy Alta")))))</f>
        <v>Muy Baja</v>
      </c>
      <c r="P52" s="117">
        <f>IF(O52="","",IF(O52="Muy Baja",0.2,IF(O52="Baja",0.4,IF(O52="Media",0.6,IF(O52="Alta",0.8,IF(O52="Muy Alta",1,))))))</f>
        <v>0.2</v>
      </c>
      <c r="Q52" s="113" t="s">
        <v>228</v>
      </c>
      <c r="R52" s="109" t="str">
        <f>IF(NOT(ISERROR(MATCH(Q52,'Tabla Impacto'!$B$221:$B$223,0))),'Tabla Impacto'!$F$223&amp;"Por favor no seleccionar los criterios de impacto(Afectación Económica o presupuestal y Pérdida Reputacional)",Q52)</f>
        <v xml:space="preserve">     El riesgo afecta la imagen de la entidad internamente, de conocimiento general, nivel interno, de junta dircetiva y accionistas y/o de provedores</v>
      </c>
      <c r="S52" s="118" t="str">
        <f>IF(OR(R52='Tabla Impacto'!$C$11,R52='Tabla Impacto'!$D$11),"Leve",IF(OR(R52='Tabla Impacto'!$C$12,R52='Tabla Impacto'!$D$12),"Menor",IF(OR(R52='Tabla Impacto'!$C$13,R52='Tabla Impacto'!$D$13),"Moderado",IF(OR(R52='Tabla Impacto'!$C$14,R52='Tabla Impacto'!$D$14),"Mayor",IF(OR(R52='Tabla Impacto'!$C$15,R52='Tabla Impacto'!$D$15),"Catastrófico","")))))</f>
        <v>Menor</v>
      </c>
      <c r="T52" s="117">
        <f>IF(S52="","",IF(S52="Leve",0.2,IF(S52="Menor",0.4,IF(S52="Moderado",0.6,IF(S52="Mayor",0.8,IF(S52="Catastrófico",1,))))))</f>
        <v>0.4</v>
      </c>
      <c r="U52" s="119" t="str">
        <f>IF(OR(AND(O52="Muy Baja",S52="Leve"),AND(O52="Muy Baja",S52="Menor"),AND(O52="Baja",S52="Leve")),"Bajo",IF(OR(AND(O52="Muy baja",S52="Moderado"),AND(O52="Baja",S52="Menor"),AND(O52="Baja",S52="Moderado"),AND(O52="Media",S52="Leve"),AND(O52="Media",S52="Menor"),AND(O52="Media",S52="Moderado"),AND(O52="Alta",S52="Leve"),AND(O52="Alta",S52="Menor")),"Moderado",IF(OR(AND(O52="Muy Baja",S52="Mayor"),AND(O52="Baja",S52="Mayor"),AND(O52="Media",S52="Mayor"),AND(O52="Alta",S52="Moderado"),AND(O52="Alta",S52="Mayor"),AND(O52="Muy Alta",S52="Leve"),AND(O52="Muy Alta",S52="Menor"),AND(O52="Muy Alta",S52="Moderado"),AND(O52="Muy Alta",S52="Mayor")),"Alto",IF(OR(AND(O52="Muy Baja",S52="Catastrófico"),AND(O52="Baja",S52="Catastrófico"),AND(O52="Media",S52="Catastrófico"),AND(O52="Alta",S52="Catastrófico"),AND(O52="Muy Alta",S52="Catastrófico")),"Extremo",""))))</f>
        <v>Bajo</v>
      </c>
      <c r="V52" s="116">
        <v>1</v>
      </c>
      <c r="W52" s="110" t="s">
        <v>419</v>
      </c>
      <c r="X52" s="88" t="str">
        <f>IF(OR(Y52="Preventivo",Y52="Detectivo"),"Probabilidad",IF(Y52="Correctivo","Impacto",""))</f>
        <v>Probabilidad</v>
      </c>
      <c r="Y52" s="89" t="s">
        <v>119</v>
      </c>
      <c r="Z52" s="89" t="s">
        <v>120</v>
      </c>
      <c r="AA52" s="90" t="str">
        <f t="shared" ref="AA52" si="90">IF(AND(Y52="Preventivo",Z52="Automático"),"50%",IF(AND(Y52="Preventivo",Z52="Manual"),"40%",IF(AND(Y52="Detectivo",Z52="Automático"),"40%",IF(AND(Y52="Detectivo",Z52="Manual"),"30%",IF(AND(Y52="Correctivo",Z52="Automático"),"35%",IF(AND(Y52="Correctivo",Z52="Manual"),"25%",""))))))</f>
        <v>40%</v>
      </c>
      <c r="AB52" s="89" t="s">
        <v>121</v>
      </c>
      <c r="AC52" s="89" t="s">
        <v>155</v>
      </c>
      <c r="AD52" s="89" t="s">
        <v>123</v>
      </c>
      <c r="AE52" s="127">
        <f>IFERROR(IF(X52="Probabilidad",(P52-(+P52*AA52)),IF(X52="Impacto",P52,"")),"")</f>
        <v>0.12</v>
      </c>
      <c r="AF52" s="91" t="str">
        <f t="shared" ref="AF52" si="91">IFERROR(IF(AE52="","",IF(AE52&lt;=0.2,"Muy Baja",IF(AE52&lt;=0.4,"Baja",IF(AE52&lt;=0.6,"Media",IF(AE52&lt;=0.8,"Alta","Muy Alta"))))),"")</f>
        <v>Muy Baja</v>
      </c>
      <c r="AG52" s="92">
        <f t="shared" ref="AG52" si="92">+AE52</f>
        <v>0.12</v>
      </c>
      <c r="AH52" s="91" t="str">
        <f t="shared" ref="AH52" si="93">IFERROR(IF(AI52="","",IF(AI52&lt;=0.2,"Leve",IF(AI52&lt;=0.4,"Menor",IF(AI52&lt;=0.6,"Moderado",IF(AI52&lt;=0.8,"Mayor","Catastrófico"))))),"")</f>
        <v>Menor</v>
      </c>
      <c r="AI52" s="92">
        <f>IFERROR(IF(X52="Impacto",(T52-(+T52*AA52)),IF(X52="Probabilidad",T52,"")),"")</f>
        <v>0.4</v>
      </c>
      <c r="AJ52" s="93" t="str">
        <f t="shared" ref="AJ52" si="94">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Bajo</v>
      </c>
      <c r="AK52" s="94" t="s">
        <v>156</v>
      </c>
      <c r="AL52" s="95" t="s">
        <v>420</v>
      </c>
      <c r="AM52" s="95" t="s">
        <v>158</v>
      </c>
      <c r="AN52" s="95" t="s">
        <v>158</v>
      </c>
      <c r="AO52" s="95" t="s">
        <v>158</v>
      </c>
      <c r="AP52" s="95" t="s">
        <v>158</v>
      </c>
      <c r="AQ52" s="95" t="s">
        <v>158</v>
      </c>
      <c r="AR52" s="95" t="s">
        <v>158</v>
      </c>
    </row>
    <row r="53" spans="1:44" ht="147.75" customHeight="1">
      <c r="A53" s="315" t="s">
        <v>421</v>
      </c>
      <c r="B53" s="305" t="s">
        <v>388</v>
      </c>
      <c r="C53" s="315" t="s">
        <v>389</v>
      </c>
      <c r="D53" s="315" t="s">
        <v>110</v>
      </c>
      <c r="E53" s="315" t="s">
        <v>148</v>
      </c>
      <c r="F53" s="315" t="s">
        <v>422</v>
      </c>
      <c r="G53" s="315" t="s">
        <v>423</v>
      </c>
      <c r="H53" s="315" t="s">
        <v>424</v>
      </c>
      <c r="I53" s="317" t="s">
        <v>115</v>
      </c>
      <c r="J53" s="317" t="s">
        <v>115</v>
      </c>
      <c r="K53" s="317" t="s">
        <v>115</v>
      </c>
      <c r="L53" s="317" t="s">
        <v>115</v>
      </c>
      <c r="M53" s="280" t="s">
        <v>116</v>
      </c>
      <c r="N53" s="275">
        <v>12</v>
      </c>
      <c r="O53" s="298" t="str">
        <f>IF(N53&lt;=0,"",IF(N53&lt;=2,"Muy Baja",IF(N53&lt;=24,"Baja",IF(N53&lt;=500,"Media",IF(N53&lt;=5000,"Alta","Muy Alta")))))</f>
        <v>Baja</v>
      </c>
      <c r="P53" s="292">
        <f>IF(O53="","",IF(O53="Muy Baja",0.2,IF(O53="Baja",0.4,IF(O53="Media",0.6,IF(O53="Alta",0.8,IF(O53="Muy Alta",1,))))))</f>
        <v>0.4</v>
      </c>
      <c r="Q53" s="313" t="s">
        <v>228</v>
      </c>
      <c r="R53" s="292" t="str">
        <f>IF(NOT(ISERROR(MATCH(Q53,'Tabla Impacto'!$B$221:$B$223,0))),'Tabla Impacto'!$F$223&amp;"Por favor no seleccionar los criterios de impacto(Afectación Económica o presupuestal y Pérdida Reputacional)",Q53)</f>
        <v xml:space="preserve">     El riesgo afecta la imagen de la entidad internamente, de conocimiento general, nivel interno, de junta dircetiva y accionistas y/o de provedores</v>
      </c>
      <c r="S53" s="298" t="str">
        <f>IF(OR(R53='Tabla Impacto'!$C$11,R53='Tabla Impacto'!$D$11),"Leve",IF(OR(R53='Tabla Impacto'!$C$12,R53='Tabla Impacto'!$D$12),"Menor",IF(OR(R53='Tabla Impacto'!$C$13,R53='Tabla Impacto'!$D$13),"Moderado",IF(OR(R53='Tabla Impacto'!$C$14,R53='Tabla Impacto'!$D$14),"Mayor",IF(OR(R53='Tabla Impacto'!$C$15,R53='Tabla Impacto'!$D$15),"Catastrófico","")))))</f>
        <v>Menor</v>
      </c>
      <c r="T53" s="292">
        <f>IF(S53="","",IF(S53="Leve",0.2,IF(S53="Menor",0.4,IF(S53="Moderado",0.6,IF(S53="Mayor",0.8,IF(S53="Catastrófico",1,))))))</f>
        <v>0.4</v>
      </c>
      <c r="U53" s="294" t="str">
        <f>IF(OR(AND(O53="Muy Baja",S53="Leve"),AND(O53="Muy Baja",S53="Menor"),AND(O53="Baja",S53="Leve")),"Bajo",IF(OR(AND(O53="Muy baja",S53="Moderado"),AND(O53="Baja",S53="Menor"),AND(O53="Baja",S53="Moderado"),AND(O53="Media",S53="Leve"),AND(O53="Media",S53="Menor"),AND(O53="Media",S53="Moderado"),AND(O53="Alta",S53="Leve"),AND(O53="Alta",S53="Menor")),"Moderado",IF(OR(AND(O53="Muy Baja",S53="Mayor"),AND(O53="Baja",S53="Mayor"),AND(O53="Media",S53="Mayor"),AND(O53="Alta",S53="Moderado"),AND(O53="Alta",S53="Mayor"),AND(O53="Muy Alta",S53="Leve"),AND(O53="Muy Alta",S53="Menor"),AND(O53="Muy Alta",S53="Moderado"),AND(O53="Muy Alta",S53="Mayor")),"Alto",IF(OR(AND(O53="Muy Baja",S53="Catastrófico"),AND(O53="Baja",S53="Catastrófico"),AND(O53="Media",S53="Catastrófico"),AND(O53="Alta",S53="Catastrófico"),AND(O53="Muy Alta",S53="Catastrófico")),"Extremo",""))))</f>
        <v>Moderado</v>
      </c>
      <c r="V53" s="305">
        <v>1</v>
      </c>
      <c r="W53" s="308" t="s">
        <v>425</v>
      </c>
      <c r="X53" s="359" t="str">
        <f>IF(OR(Y53="Preventivo",Y53="Detectivo"),"Probabilidad",IF(Y53="Correctivo","Impacto",""))</f>
        <v>Probabilidad</v>
      </c>
      <c r="Y53" s="268" t="s">
        <v>119</v>
      </c>
      <c r="Z53" s="268" t="s">
        <v>120</v>
      </c>
      <c r="AA53" s="362" t="str">
        <f>IF(AND(Y53="Preventivo",Z53="Automático"),"50%",IF(AND(Y53="Preventivo",Z53="Manual"),"40%",IF(AND(Y53="Detectivo",Z53="Automático"),"40%",IF(AND(Y53="Detectivo",Z53="Manual"),"30%",IF(AND(Y53="Correctivo",Z53="Automático"),"35%",IF(AND(Y53="Correctivo",Z53="Manual"),"25%",""))))))</f>
        <v>40%</v>
      </c>
      <c r="AB53" s="268" t="s">
        <v>121</v>
      </c>
      <c r="AC53" s="268" t="s">
        <v>122</v>
      </c>
      <c r="AD53" s="268" t="s">
        <v>123</v>
      </c>
      <c r="AE53" s="365">
        <f>IFERROR(IF(X53="Probabilidad",(P53-(+P53*AA53)),IF(X53="Impacto",P53,"")),"")</f>
        <v>0.24</v>
      </c>
      <c r="AF53" s="290" t="str">
        <f>IFERROR(IF(AE53="","",IF(AE53&lt;=0.2,"Muy Baja",IF(AE53&lt;=0.4,"Baja",IF(AE53&lt;=0.6,"Media",IF(AE53&lt;=0.8,"Alta","Muy Alta"))))),"")</f>
        <v>Baja</v>
      </c>
      <c r="AG53" s="362">
        <f>+AE53</f>
        <v>0.24</v>
      </c>
      <c r="AH53" s="290" t="str">
        <f>IFERROR(IF(AI53="","",IF(AI53&lt;=0.2,"Leve",IF(AI53&lt;=0.4,"Menor",IF(AI53&lt;=0.6,"Moderado",IF(AI53&lt;=0.8,"Mayor","Catastrófico"))))),"")</f>
        <v>Menor</v>
      </c>
      <c r="AI53" s="362">
        <f>IFERROR(IF(X53="Impacto",(T53-(+T53*AA53)),IF(X53="Probabilidad",T53,"")),"")</f>
        <v>0.4</v>
      </c>
      <c r="AJ53" s="369" t="str">
        <f>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Moderado</v>
      </c>
      <c r="AK53" s="268" t="s">
        <v>124</v>
      </c>
      <c r="AL53" s="95" t="s">
        <v>426</v>
      </c>
      <c r="AM53" s="95" t="s">
        <v>427</v>
      </c>
      <c r="AN53" s="95" t="s">
        <v>216</v>
      </c>
      <c r="AO53" s="106" t="s">
        <v>397</v>
      </c>
      <c r="AP53" s="135" t="s">
        <v>428</v>
      </c>
      <c r="AQ53" s="96" t="s">
        <v>130</v>
      </c>
      <c r="AR53" s="95" t="s">
        <v>429</v>
      </c>
    </row>
    <row r="54" spans="1:44" ht="111.75" customHeight="1">
      <c r="A54" s="316"/>
      <c r="B54" s="307"/>
      <c r="C54" s="316"/>
      <c r="D54" s="316"/>
      <c r="E54" s="316"/>
      <c r="F54" s="316"/>
      <c r="G54" s="316"/>
      <c r="H54" s="316"/>
      <c r="I54" s="273"/>
      <c r="J54" s="273"/>
      <c r="K54" s="273"/>
      <c r="L54" s="273"/>
      <c r="M54" s="278"/>
      <c r="N54" s="276"/>
      <c r="O54" s="299"/>
      <c r="P54" s="301"/>
      <c r="Q54" s="314"/>
      <c r="R54" s="301">
        <f>IF(NOT(ISERROR(MATCH(Q54,_xlfn.ANCHORARRAY(#REF!),0))),#REF!&amp;"Por favor no seleccionar los criterios de impacto",Q54)</f>
        <v>0</v>
      </c>
      <c r="S54" s="299"/>
      <c r="T54" s="301"/>
      <c r="U54" s="302"/>
      <c r="V54" s="307"/>
      <c r="W54" s="309"/>
      <c r="X54" s="360"/>
      <c r="Y54" s="281"/>
      <c r="Z54" s="281"/>
      <c r="AA54" s="363"/>
      <c r="AB54" s="281"/>
      <c r="AC54" s="281"/>
      <c r="AD54" s="281"/>
      <c r="AE54" s="367"/>
      <c r="AF54" s="368"/>
      <c r="AG54" s="363"/>
      <c r="AH54" s="368"/>
      <c r="AI54" s="363"/>
      <c r="AJ54" s="371"/>
      <c r="AK54" s="281"/>
      <c r="AL54" s="95" t="s">
        <v>430</v>
      </c>
      <c r="AM54" s="95" t="s">
        <v>427</v>
      </c>
      <c r="AN54" s="95" t="s">
        <v>216</v>
      </c>
      <c r="AO54" s="106" t="s">
        <v>397</v>
      </c>
      <c r="AP54" s="95" t="s">
        <v>431</v>
      </c>
      <c r="AQ54" s="96" t="s">
        <v>130</v>
      </c>
      <c r="AR54" s="95" t="s">
        <v>432</v>
      </c>
    </row>
    <row r="55" spans="1:44" ht="128.25" customHeight="1">
      <c r="A55" s="316"/>
      <c r="B55" s="307"/>
      <c r="C55" s="316"/>
      <c r="D55" s="316"/>
      <c r="E55" s="316"/>
      <c r="F55" s="316"/>
      <c r="G55" s="316"/>
      <c r="H55" s="316"/>
      <c r="I55" s="274"/>
      <c r="J55" s="274"/>
      <c r="K55" s="274"/>
      <c r="L55" s="274"/>
      <c r="M55" s="278"/>
      <c r="N55" s="276"/>
      <c r="O55" s="299"/>
      <c r="P55" s="301"/>
      <c r="Q55" s="314"/>
      <c r="R55" s="301">
        <f>IF(NOT(ISERROR(MATCH(Q55,_xlfn.ANCHORARRAY(H63),0))),#REF!&amp;"Por favor no seleccionar los criterios de impacto",Q55)</f>
        <v>0</v>
      </c>
      <c r="S55" s="299"/>
      <c r="T55" s="301"/>
      <c r="U55" s="302"/>
      <c r="V55" s="306"/>
      <c r="W55" s="310"/>
      <c r="X55" s="361"/>
      <c r="Y55" s="269"/>
      <c r="Z55" s="269"/>
      <c r="AA55" s="364"/>
      <c r="AB55" s="269"/>
      <c r="AC55" s="269"/>
      <c r="AD55" s="269"/>
      <c r="AE55" s="366"/>
      <c r="AF55" s="291"/>
      <c r="AG55" s="364"/>
      <c r="AH55" s="291"/>
      <c r="AI55" s="364"/>
      <c r="AJ55" s="370"/>
      <c r="AK55" s="269"/>
      <c r="AL55" s="95" t="s">
        <v>433</v>
      </c>
      <c r="AM55" s="95" t="s">
        <v>427</v>
      </c>
      <c r="AN55" s="95" t="s">
        <v>216</v>
      </c>
      <c r="AO55" s="106" t="s">
        <v>397</v>
      </c>
      <c r="AP55" s="95" t="s">
        <v>434</v>
      </c>
      <c r="AQ55" s="96" t="s">
        <v>130</v>
      </c>
      <c r="AR55" s="95" t="s">
        <v>435</v>
      </c>
    </row>
    <row r="56" spans="1:44" ht="90" customHeight="1">
      <c r="A56" s="315" t="s">
        <v>436</v>
      </c>
      <c r="B56" s="315" t="s">
        <v>437</v>
      </c>
      <c r="C56" s="315" t="s">
        <v>438</v>
      </c>
      <c r="D56" s="315" t="s">
        <v>110</v>
      </c>
      <c r="E56" s="315" t="s">
        <v>148</v>
      </c>
      <c r="F56" s="315" t="s">
        <v>439</v>
      </c>
      <c r="G56" s="114" t="s">
        <v>440</v>
      </c>
      <c r="H56" s="315" t="s">
        <v>441</v>
      </c>
      <c r="I56" s="317" t="s">
        <v>115</v>
      </c>
      <c r="J56" s="317" t="s">
        <v>115</v>
      </c>
      <c r="K56" s="317" t="s">
        <v>115</v>
      </c>
      <c r="L56" s="317" t="s">
        <v>115</v>
      </c>
      <c r="M56" s="280" t="s">
        <v>116</v>
      </c>
      <c r="N56" s="275">
        <v>24</v>
      </c>
      <c r="O56" s="298" t="str">
        <f>IF(N56&lt;=0,"",IF(N56&lt;=2,"Muy Baja",IF(N56&lt;=24,"Baja",IF(N56&lt;=500,"Media",IF(N56&lt;=5000,"Alta","Muy Alta")))))</f>
        <v>Baja</v>
      </c>
      <c r="P56" s="292">
        <f>IF(O56="","",IF(O56="Muy Baja",0.2,IF(O56="Baja",0.4,IF(O56="Media",0.6,IF(O56="Alta",0.8,IF(O56="Muy Alta",1,))))))</f>
        <v>0.4</v>
      </c>
      <c r="Q56" s="313" t="s">
        <v>228</v>
      </c>
      <c r="R56" s="292" t="str">
        <f>IF(NOT(ISERROR(MATCH(Q56,'Tabla Impacto'!$B$221:$B$223,0))),'Tabla Impacto'!$F$223&amp;"Por favor no seleccionar los criterios de impacto(Afectación Económica o presupuestal y Pérdida Reputacional)",Q56)</f>
        <v xml:space="preserve">     El riesgo afecta la imagen de la entidad internamente, de conocimiento general, nivel interno, de junta dircetiva y accionistas y/o de provedores</v>
      </c>
      <c r="S56" s="298" t="str">
        <f>IF(OR(R56='Tabla Impacto'!$C$11,R56='Tabla Impacto'!$D$11),"Leve",IF(OR(R56='Tabla Impacto'!$C$12,R56='Tabla Impacto'!$D$12),"Menor",IF(OR(R56='Tabla Impacto'!$C$13,R56='Tabla Impacto'!$D$13),"Moderado",IF(OR(R56='Tabla Impacto'!$C$14,R56='Tabla Impacto'!$D$14),"Mayor",IF(OR(R56='Tabla Impacto'!$C$15,R56='Tabla Impacto'!$D$15),"Catastrófico","")))))</f>
        <v>Menor</v>
      </c>
      <c r="T56" s="292">
        <f>IF(S56="","",IF(S56="Leve",0.2,IF(S56="Menor",0.4,IF(S56="Moderado",0.6,IF(S56="Mayor",0.8,IF(S56="Catastrófico",1,))))))</f>
        <v>0.4</v>
      </c>
      <c r="U56" s="294" t="str">
        <f>IF(OR(AND(O56="Muy Baja",S56="Leve"),AND(O56="Muy Baja",S56="Menor"),AND(O56="Baja",S56="Leve")),"Bajo",IF(OR(AND(O56="Muy baja",S56="Moderado"),AND(O56="Baja",S56="Menor"),AND(O56="Baja",S56="Moderado"),AND(O56="Media",S56="Leve"),AND(O56="Media",S56="Menor"),AND(O56="Media",S56="Moderado"),AND(O56="Alta",S56="Leve"),AND(O56="Alta",S56="Menor")),"Moderado",IF(OR(AND(O56="Muy Baja",S56="Mayor"),AND(O56="Baja",S56="Mayor"),AND(O56="Media",S56="Mayor"),AND(O56="Alta",S56="Moderado"),AND(O56="Alta",S56="Mayor"),AND(O56="Muy Alta",S56="Leve"),AND(O56="Muy Alta",S56="Menor"),AND(O56="Muy Alta",S56="Moderado"),AND(O56="Muy Alta",S56="Mayor")),"Alto",IF(OR(AND(O56="Muy Baja",S56="Catastrófico"),AND(O56="Baja",S56="Catastrófico"),AND(O56="Media",S56="Catastrófico"),AND(O56="Alta",S56="Catastrófico"),AND(O56="Muy Alta",S56="Catastrófico")),"Extremo",""))))</f>
        <v>Moderado</v>
      </c>
      <c r="V56" s="116">
        <v>1</v>
      </c>
      <c r="W56" s="121" t="s">
        <v>442</v>
      </c>
      <c r="X56" s="88" t="str">
        <f>IF(OR(Y56="Preventivo",Y56="Detectivo"),"Probabilidad",IF(Y56="Correctivo","Impacto",""))</f>
        <v>Probabilidad</v>
      </c>
      <c r="Y56" s="89" t="s">
        <v>119</v>
      </c>
      <c r="Z56" s="89" t="s">
        <v>120</v>
      </c>
      <c r="AA56" s="90" t="str">
        <f>IF(AND(Y56="Preventivo",Z56="Automático"),"50%",IF(AND(Y56="Preventivo",Z56="Manual"),"40%",IF(AND(Y56="Detectivo",Z56="Automático"),"40%",IF(AND(Y56="Detectivo",Z56="Manual"),"30%",IF(AND(Y56="Correctivo",Z56="Automático"),"35%",IF(AND(Y56="Correctivo",Z56="Manual"),"25%",""))))))</f>
        <v>40%</v>
      </c>
      <c r="AB56" s="89" t="s">
        <v>121</v>
      </c>
      <c r="AC56" s="89" t="s">
        <v>155</v>
      </c>
      <c r="AD56" s="89" t="s">
        <v>123</v>
      </c>
      <c r="AE56" s="127">
        <f>IFERROR(IF(X56="Probabilidad",(P56-(+P56*AA56)),IF(X56="Impacto",P56,"")),"")</f>
        <v>0.24</v>
      </c>
      <c r="AF56" s="91" t="str">
        <f>IFERROR(IF(AE56="","",IF(AE56&lt;=0.2,"Muy Baja",IF(AE56&lt;=0.4,"Baja",IF(AE56&lt;=0.6,"Media",IF(AE56&lt;=0.8,"Alta","Muy Alta"))))),"")</f>
        <v>Baja</v>
      </c>
      <c r="AG56" s="92">
        <f>+AE56</f>
        <v>0.24</v>
      </c>
      <c r="AH56" s="91" t="str">
        <f>IFERROR(IF(AI56="","",IF(AI56&lt;=0.2,"Leve",IF(AI56&lt;=0.4,"Menor",IF(AI56&lt;=0.6,"Moderado",IF(AI56&lt;=0.8,"Mayor","Catastrófico"))))),"")</f>
        <v>Menor</v>
      </c>
      <c r="AI56" s="92">
        <f>IFERROR(IF(X56="Impacto",(T56-(+T56*AA56)),IF(X56="Probabilidad",T56,"")),"")</f>
        <v>0.4</v>
      </c>
      <c r="AJ56" s="93" t="str">
        <f>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Moderado</v>
      </c>
      <c r="AK56" s="268" t="s">
        <v>156</v>
      </c>
      <c r="AL56" s="280" t="s">
        <v>158</v>
      </c>
      <c r="AM56" s="280" t="s">
        <v>158</v>
      </c>
      <c r="AN56" s="280" t="s">
        <v>158</v>
      </c>
      <c r="AO56" s="280" t="s">
        <v>158</v>
      </c>
      <c r="AP56" s="280" t="s">
        <v>158</v>
      </c>
      <c r="AQ56" s="280" t="s">
        <v>158</v>
      </c>
      <c r="AR56" s="280" t="s">
        <v>158</v>
      </c>
    </row>
    <row r="57" spans="1:44" ht="64.5" customHeight="1">
      <c r="A57" s="316"/>
      <c r="B57" s="316"/>
      <c r="C57" s="316"/>
      <c r="D57" s="316"/>
      <c r="E57" s="316"/>
      <c r="F57" s="316"/>
      <c r="G57" s="114" t="s">
        <v>443</v>
      </c>
      <c r="H57" s="316"/>
      <c r="I57" s="273"/>
      <c r="J57" s="273"/>
      <c r="K57" s="273"/>
      <c r="L57" s="273"/>
      <c r="M57" s="278"/>
      <c r="N57" s="276"/>
      <c r="O57" s="299"/>
      <c r="P57" s="301"/>
      <c r="Q57" s="314"/>
      <c r="R57" s="301">
        <f>IF(NOT(ISERROR(MATCH(Q57,_xlfn.ANCHORARRAY(#REF!),0))),P63&amp;"Por favor no seleccionar los criterios de impacto",Q57)</f>
        <v>0</v>
      </c>
      <c r="S57" s="299"/>
      <c r="T57" s="301"/>
      <c r="U57" s="302"/>
      <c r="V57" s="95">
        <v>2</v>
      </c>
      <c r="W57" s="121" t="s">
        <v>444</v>
      </c>
      <c r="X57" s="88" t="str">
        <f>IF(OR(Y57="Preventivo",Y57="Detectivo"),"Probabilidad",IF(Y57="Correctivo","Impacto",""))</f>
        <v>Probabilidad</v>
      </c>
      <c r="Y57" s="89" t="s">
        <v>119</v>
      </c>
      <c r="Z57" s="89" t="s">
        <v>120</v>
      </c>
      <c r="AA57" s="90" t="str">
        <f>IF(AND(Y57="Preventivo",Z57="Automático"),"50%",IF(AND(Y57="Preventivo",Z57="Manual"),"40%",IF(AND(Y57="Detectivo",Z57="Automático"),"40%",IF(AND(Y57="Detectivo",Z57="Manual"),"30%",IF(AND(Y57="Correctivo",Z57="Automático"),"35%",IF(AND(Y57="Correctivo",Z57="Manual"),"25%",""))))))</f>
        <v>40%</v>
      </c>
      <c r="AB57" s="89" t="s">
        <v>121</v>
      </c>
      <c r="AC57" s="89" t="s">
        <v>155</v>
      </c>
      <c r="AD57" s="89" t="s">
        <v>123</v>
      </c>
      <c r="AE57" s="127">
        <f>IFERROR(IF(AND(X56="Probabilidad",X57="Probabilidad"),(AG56-(+AG56*AA57)),IF(X57="Probabilidad",(P56-(+P56*AA57)),IF(X57="Impacto",AG56,""))),"")</f>
        <v>0.14399999999999999</v>
      </c>
      <c r="AF57" s="91" t="str">
        <f>IFERROR(IF(AE57="","",IF(AE57&lt;=0.2,"Muy Baja",IF(AE57&lt;=0.4,"Baja",IF(AE57&lt;=0.6,"Media",IF(AE57&lt;=0.8,"Alta","Muy Alta"))))),"")</f>
        <v>Muy Baja</v>
      </c>
      <c r="AG57" s="92">
        <f>+AE57</f>
        <v>0.14399999999999999</v>
      </c>
      <c r="AH57" s="91" t="str">
        <f>IFERROR(IF(AI57="","",IF(AI57&lt;=0.2,"Leve",IF(AI57&lt;=0.4,"Menor",IF(AI57&lt;=0.6,"Moderado",IF(AI57&lt;=0.8,"Mayor","Catastrófico"))))),"")</f>
        <v>Menor</v>
      </c>
      <c r="AI57" s="92">
        <f>IFERROR(IF(AND(X56="Impacto",X57="Impacto"),(AI56-(+AI56*AA57)),IF(X57="Impacto",($T$15-(+$T$15*AA57)),IF(X57="Probabilidad",AI56,""))),"")</f>
        <v>0.4</v>
      </c>
      <c r="AJ57" s="93" t="str">
        <f>IFERROR(IF(OR(AND(AF57="Muy Baja",AH57="Leve"),AND(AF57="Muy Baja",AH57="Menor"),AND(AF57="Baja",AH57="Leve")),"Bajo",IF(OR(AND(AF57="Muy baja",AH57="Moderado"),AND(AF57="Baja",AH57="Menor"),AND(AF57="Baja",AH57="Moderado"),AND(AF57="Media",AH57="Leve"),AND(AF57="Media",AH57="Menor"),AND(AF57="Media",AH57="Moderado"),AND(AF57="Alta",AH57="Leve"),AND(AF57="Alta",AH57="Menor")),"Moderado",IF(OR(AND(AF57="Muy Baja",AH57="Mayor"),AND(AF57="Baja",AH57="Mayor"),AND(AF57="Media",AH57="Mayor"),AND(AF57="Alta",AH57="Moderado"),AND(AF57="Alta",AH57="Mayor"),AND(AF57="Muy Alta",AH57="Leve"),AND(AF57="Muy Alta",AH57="Menor"),AND(AF57="Muy Alta",AH57="Moderado"),AND(AF57="Muy Alta",AH57="Mayor")),"Alto",IF(OR(AND(AF57="Muy Baja",AH57="Catastrófico"),AND(AF57="Baja",AH57="Catastrófico"),AND(AF57="Media",AH57="Catastrófico"),AND(AF57="Alta",AH57="Catastrófico"),AND(AF57="Muy Alta",AH57="Catastrófico")),"Extremo","")))),"")</f>
        <v>Bajo</v>
      </c>
      <c r="AK57" s="269"/>
      <c r="AL57" s="279"/>
      <c r="AM57" s="279"/>
      <c r="AN57" s="279"/>
      <c r="AO57" s="279"/>
      <c r="AP57" s="279"/>
      <c r="AQ57" s="279"/>
      <c r="AR57" s="279"/>
    </row>
    <row r="58" spans="1:44" ht="159.75" customHeight="1">
      <c r="A58" s="86" t="s">
        <v>445</v>
      </c>
      <c r="B58" s="86" t="s">
        <v>437</v>
      </c>
      <c r="C58" s="86" t="s">
        <v>438</v>
      </c>
      <c r="D58" s="86" t="s">
        <v>110</v>
      </c>
      <c r="E58" s="86" t="s">
        <v>148</v>
      </c>
      <c r="F58" s="86" t="s">
        <v>446</v>
      </c>
      <c r="G58" s="86" t="s">
        <v>447</v>
      </c>
      <c r="H58" s="86" t="s">
        <v>448</v>
      </c>
      <c r="I58" s="103" t="s">
        <v>115</v>
      </c>
      <c r="J58" s="103" t="s">
        <v>115</v>
      </c>
      <c r="K58" s="103" t="s">
        <v>115</v>
      </c>
      <c r="L58" s="103" t="s">
        <v>115</v>
      </c>
      <c r="M58" s="115" t="s">
        <v>116</v>
      </c>
      <c r="N58" s="120">
        <v>1</v>
      </c>
      <c r="O58" s="118" t="str">
        <f>IF(N58&lt;=0,"",IF(N58&lt;=2,"Muy Baja",IF(N58&lt;=24,"Baja",IF(N58&lt;=500,"Media",IF(N58&lt;=5000,"Alta","Muy Alta")))))</f>
        <v>Muy Baja</v>
      </c>
      <c r="P58" s="117">
        <f>IF(O58="","",IF(O58="Muy Baja",0.2,IF(O58="Baja",0.4,IF(O58="Media",0.6,IF(O58="Alta",0.8,IF(O58="Muy Alta",1,))))))</f>
        <v>0.2</v>
      </c>
      <c r="Q58" s="113" t="s">
        <v>117</v>
      </c>
      <c r="R58" s="109" t="str">
        <f>IF(NOT(ISERROR(MATCH(Q58,'Tabla Impacto'!$B$221:$B$223,0))),'Tabla Impacto'!$F$223&amp;"Por favor no seleccionar los criterios de impacto(Afectación Económica o presupuestal y Pérdida Reputacional)",Q58)</f>
        <v xml:space="preserve">     El riesgo afecta la imagen de la entidad con algunos usuarios de relevancia frente al logro de los objetivos</v>
      </c>
      <c r="S58" s="118" t="str">
        <f>IF(OR(R58='Tabla Impacto'!$C$11,R58='Tabla Impacto'!$D$11),"Leve",IF(OR(R58='Tabla Impacto'!$C$12,R58='Tabla Impacto'!$D$12),"Menor",IF(OR(R58='Tabla Impacto'!$C$13,R58='Tabla Impacto'!$D$13),"Moderado",IF(OR(R58='Tabla Impacto'!$C$14,R58='Tabla Impacto'!$D$14),"Mayor",IF(OR(R58='Tabla Impacto'!$C$15,R58='Tabla Impacto'!$D$15),"Catastrófico","")))))</f>
        <v>Moderado</v>
      </c>
      <c r="T58" s="117">
        <f>IF(S58="","",IF(S58="Leve",0.2,IF(S58="Menor",0.4,IF(S58="Moderado",0.6,IF(S58="Mayor",0.8,IF(S58="Catastrófico",1,))))))</f>
        <v>0.6</v>
      </c>
      <c r="U58" s="119" t="str">
        <f>IF(OR(AND(O58="Muy Baja",S58="Leve"),AND(O58="Muy Baja",S58="Menor"),AND(O58="Baja",S58="Leve")),"Bajo",IF(OR(AND(O58="Muy baja",S58="Moderado"),AND(O58="Baja",S58="Menor"),AND(O58="Baja",S58="Moderado"),AND(O58="Media",S58="Leve"),AND(O58="Media",S58="Menor"),AND(O58="Media",S58="Moderado"),AND(O58="Alta",S58="Leve"),AND(O58="Alta",S58="Menor")),"Moderado",IF(OR(AND(O58="Muy Baja",S58="Mayor"),AND(O58="Baja",S58="Mayor"),AND(O58="Media",S58="Mayor"),AND(O58="Alta",S58="Moderado"),AND(O58="Alta",S58="Mayor"),AND(O58="Muy Alta",S58="Leve"),AND(O58="Muy Alta",S58="Menor"),AND(O58="Muy Alta",S58="Moderado"),AND(O58="Muy Alta",S58="Mayor")),"Alto",IF(OR(AND(O58="Muy Baja",S58="Catastrófico"),AND(O58="Baja",S58="Catastrófico"),AND(O58="Media",S58="Catastrófico"),AND(O58="Alta",S58="Catastrófico"),AND(O58="Muy Alta",S58="Catastrófico")),"Extremo",""))))</f>
        <v>Moderado</v>
      </c>
      <c r="V58" s="116">
        <v>1</v>
      </c>
      <c r="W58" s="98" t="s">
        <v>449</v>
      </c>
      <c r="X58" s="88" t="str">
        <f>IF(OR(Y58="Preventivo",Y58="Detectivo"),"Probabilidad",IF(Y58="Correctivo","Impacto",""))</f>
        <v>Probabilidad</v>
      </c>
      <c r="Y58" s="89" t="s">
        <v>119</v>
      </c>
      <c r="Z58" s="89" t="s">
        <v>120</v>
      </c>
      <c r="AA58" s="90" t="str">
        <f>IF(AND(Y58="Preventivo",Z58="Automático"),"50%",IF(AND(Y58="Preventivo",Z58="Manual"),"40%",IF(AND(Y58="Detectivo",Z58="Automático"),"40%",IF(AND(Y58="Detectivo",Z58="Manual"),"30%",IF(AND(Y58="Correctivo",Z58="Automático"),"35%",IF(AND(Y58="Correctivo",Z58="Manual"),"25%",""))))))</f>
        <v>40%</v>
      </c>
      <c r="AB58" s="89" t="s">
        <v>121</v>
      </c>
      <c r="AC58" s="89" t="s">
        <v>155</v>
      </c>
      <c r="AD58" s="89" t="s">
        <v>123</v>
      </c>
      <c r="AE58" s="127">
        <f>IFERROR(IF(X58="Probabilidad",(P58-(+P58*AA58)),IF(X58="Impacto",P58,"")),"")</f>
        <v>0.12</v>
      </c>
      <c r="AF58" s="91" t="str">
        <f>IFERROR(IF(AE58="","",IF(AE58&lt;=0.2,"Muy Baja",IF(AE58&lt;=0.4,"Baja",IF(AE58&lt;=0.6,"Media",IF(AE58&lt;=0.8,"Alta","Muy Alta"))))),"")</f>
        <v>Muy Baja</v>
      </c>
      <c r="AG58" s="92">
        <f>+AE58</f>
        <v>0.12</v>
      </c>
      <c r="AH58" s="91" t="str">
        <f>IFERROR(IF(AI58="","",IF(AI58&lt;=0.2,"Leve",IF(AI58&lt;=0.4,"Menor",IF(AI58&lt;=0.6,"Moderado",IF(AI58&lt;=0.8,"Mayor","Catastrófico"))))),"")</f>
        <v>Moderado</v>
      </c>
      <c r="AI58" s="92">
        <f>IFERROR(IF(X58="Impacto",(T58-(+T58*AA58)),IF(X58="Probabilidad",T58,"")),"")</f>
        <v>0.6</v>
      </c>
      <c r="AJ58" s="93"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Moderado</v>
      </c>
      <c r="AK58" s="94" t="s">
        <v>124</v>
      </c>
      <c r="AL58" s="95" t="s">
        <v>450</v>
      </c>
      <c r="AM58" s="95" t="s">
        <v>451</v>
      </c>
      <c r="AN58" s="106" t="s">
        <v>216</v>
      </c>
      <c r="AO58" s="106" t="s">
        <v>242</v>
      </c>
      <c r="AP58" s="95" t="s">
        <v>452</v>
      </c>
      <c r="AQ58" s="96" t="s">
        <v>145</v>
      </c>
      <c r="AR58" s="95" t="s">
        <v>453</v>
      </c>
    </row>
    <row r="59" spans="1:44" ht="142.5" customHeight="1">
      <c r="A59" s="86" t="s">
        <v>454</v>
      </c>
      <c r="B59" s="86" t="s">
        <v>455</v>
      </c>
      <c r="C59" s="86" t="s">
        <v>456</v>
      </c>
      <c r="D59" s="86" t="s">
        <v>110</v>
      </c>
      <c r="E59" s="86" t="s">
        <v>148</v>
      </c>
      <c r="F59" s="86" t="s">
        <v>457</v>
      </c>
      <c r="G59" s="86" t="s">
        <v>458</v>
      </c>
      <c r="H59" s="86" t="s">
        <v>459</v>
      </c>
      <c r="I59" s="103" t="s">
        <v>115</v>
      </c>
      <c r="J59" s="103" t="s">
        <v>115</v>
      </c>
      <c r="K59" s="103" t="s">
        <v>115</v>
      </c>
      <c r="L59" s="103" t="s">
        <v>115</v>
      </c>
      <c r="M59" s="115" t="s">
        <v>116</v>
      </c>
      <c r="N59" s="120">
        <v>119</v>
      </c>
      <c r="O59" s="118" t="str">
        <f>IF(N59&lt;=0,"",IF(N59&lt;=2,"Muy Baja",IF(N59&lt;=24,"Baja",IF(N59&lt;=500,"Media",IF(N59&lt;=5000,"Alta","Muy Alta")))))</f>
        <v>Media</v>
      </c>
      <c r="P59" s="117">
        <f>IF(O59="","",IF(O59="Muy Baja",0.2,IF(O59="Baja",0.4,IF(O59="Media",0.6,IF(O59="Alta",0.8,IF(O59="Muy Alta",1,))))))</f>
        <v>0.6</v>
      </c>
      <c r="Q59" s="113" t="s">
        <v>117</v>
      </c>
      <c r="R59" s="109" t="str">
        <f>IF(NOT(ISERROR(MATCH(Q59,'Tabla Impacto'!$B$221:$B$223,0))),'Tabla Impacto'!$F$223&amp;"Por favor no seleccionar los criterios de impacto(Afectación Económica o presupuestal y Pérdida Reputacional)",Q59)</f>
        <v xml:space="preserve">     El riesgo afecta la imagen de la entidad con algunos usuarios de relevancia frente al logro de los objetivos</v>
      </c>
      <c r="S59" s="118" t="str">
        <f>IF(OR(R59='Tabla Impacto'!$C$11,R59='Tabla Impacto'!$D$11),"Leve",IF(OR(R59='Tabla Impacto'!$C$12,R59='Tabla Impacto'!$D$12),"Menor",IF(OR(R59='Tabla Impacto'!$C$13,R59='Tabla Impacto'!$D$13),"Moderado",IF(OR(R59='Tabla Impacto'!$C$14,R59='Tabla Impacto'!$D$14),"Mayor",IF(OR(R59='Tabla Impacto'!$C$15,R59='Tabla Impacto'!$D$15),"Catastrófico","")))))</f>
        <v>Moderado</v>
      </c>
      <c r="T59" s="117">
        <f>IF(S59="","",IF(S59="Leve",0.2,IF(S59="Menor",0.4,IF(S59="Moderado",0.6,IF(S59="Mayor",0.8,IF(S59="Catastrófico",1,))))))</f>
        <v>0.6</v>
      </c>
      <c r="U59" s="119" t="str">
        <f>IF(OR(AND(O59="Muy Baja",S59="Leve"),AND(O59="Muy Baja",S59="Menor"),AND(O59="Baja",S59="Leve")),"Bajo",IF(OR(AND(O59="Muy baja",S59="Moderado"),AND(O59="Baja",S59="Menor"),AND(O59="Baja",S59="Moderado"),AND(O59="Media",S59="Leve"),AND(O59="Media",S59="Menor"),AND(O59="Media",S59="Moderado"),AND(O59="Alta",S59="Leve"),AND(O59="Alta",S59="Menor")),"Moderado",IF(OR(AND(O59="Muy Baja",S59="Mayor"),AND(O59="Baja",S59="Mayor"),AND(O59="Media",S59="Mayor"),AND(O59="Alta",S59="Moderado"),AND(O59="Alta",S59="Mayor"),AND(O59="Muy Alta",S59="Leve"),AND(O59="Muy Alta",S59="Menor"),AND(O59="Muy Alta",S59="Moderado"),AND(O59="Muy Alta",S59="Mayor")),"Alto",IF(OR(AND(O59="Muy Baja",S59="Catastrófico"),AND(O59="Baja",S59="Catastrófico"),AND(O59="Media",S59="Catastrófico"),AND(O59="Alta",S59="Catastrófico"),AND(O59="Muy Alta",S59="Catastrófico")),"Extremo",""))))</f>
        <v>Moderado</v>
      </c>
      <c r="V59" s="116">
        <v>1</v>
      </c>
      <c r="W59" s="108" t="s">
        <v>460</v>
      </c>
      <c r="X59" s="88" t="str">
        <f>IF(OR(Y59="Preventivo",Y59="Detectivo"),"Probabilidad",IF(Y59="Correctivo","Impacto",""))</f>
        <v>Probabilidad</v>
      </c>
      <c r="Y59" s="89" t="s">
        <v>119</v>
      </c>
      <c r="Z59" s="89" t="s">
        <v>120</v>
      </c>
      <c r="AA59" s="90" t="str">
        <f>IF(AND(Y59="Preventivo",Z59="Automático"),"50%",IF(AND(Y59="Preventivo",Z59="Manual"),"40%",IF(AND(Y59="Detectivo",Z59="Automático"),"40%",IF(AND(Y59="Detectivo",Z59="Manual"),"30%",IF(AND(Y59="Correctivo",Z59="Automático"),"35%",IF(AND(Y59="Correctivo",Z59="Manual"),"25%",""))))))</f>
        <v>40%</v>
      </c>
      <c r="AB59" s="89" t="s">
        <v>121</v>
      </c>
      <c r="AC59" s="89" t="s">
        <v>122</v>
      </c>
      <c r="AD59" s="89" t="s">
        <v>123</v>
      </c>
      <c r="AE59" s="127">
        <f>IFERROR(IF(X59="Probabilidad",(P59-(+P59*AA59)),IF(X59="Impacto",P59,"")),"")</f>
        <v>0.36</v>
      </c>
      <c r="AF59" s="91" t="str">
        <f>IFERROR(IF(AE59="","",IF(AE59&lt;=0.2,"Muy Baja",IF(AE59&lt;=0.4,"Baja",IF(AE59&lt;=0.6,"Media",IF(AE59&lt;=0.8,"Alta","Muy Alta"))))),"")</f>
        <v>Baja</v>
      </c>
      <c r="AG59" s="92">
        <f>+AE59</f>
        <v>0.36</v>
      </c>
      <c r="AH59" s="91" t="str">
        <f>IFERROR(IF(AI59="","",IF(AI59&lt;=0.2,"Leve",IF(AI59&lt;=0.4,"Menor",IF(AI59&lt;=0.6,"Moderado",IF(AI59&lt;=0.8,"Mayor","Catastrófico"))))),"")</f>
        <v>Moderado</v>
      </c>
      <c r="AI59" s="92">
        <f>IFERROR(IF(X59="Impacto",(T59-(+T59*AA59)),IF(X59="Probabilidad",T59,"")),"")</f>
        <v>0.6</v>
      </c>
      <c r="AJ59" s="93" t="str">
        <f>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Moderado</v>
      </c>
      <c r="AK59" s="94" t="s">
        <v>124</v>
      </c>
      <c r="AL59" s="95" t="s">
        <v>461</v>
      </c>
      <c r="AM59" s="95" t="s">
        <v>462</v>
      </c>
      <c r="AN59" s="106" t="s">
        <v>216</v>
      </c>
      <c r="AO59" s="106" t="s">
        <v>463</v>
      </c>
      <c r="AP59" s="95" t="s">
        <v>464</v>
      </c>
      <c r="AQ59" s="96" t="s">
        <v>130</v>
      </c>
      <c r="AR59" s="95" t="s">
        <v>465</v>
      </c>
    </row>
    <row r="60" spans="1:44" ht="132" customHeight="1">
      <c r="A60" s="315" t="s">
        <v>466</v>
      </c>
      <c r="B60" s="315" t="s">
        <v>455</v>
      </c>
      <c r="C60" s="315" t="s">
        <v>456</v>
      </c>
      <c r="D60" s="315" t="s">
        <v>110</v>
      </c>
      <c r="E60" s="315" t="s">
        <v>148</v>
      </c>
      <c r="F60" s="315" t="s">
        <v>467</v>
      </c>
      <c r="G60" s="315" t="s">
        <v>468</v>
      </c>
      <c r="H60" s="315" t="s">
        <v>469</v>
      </c>
      <c r="I60" s="317" t="s">
        <v>115</v>
      </c>
      <c r="J60" s="317" t="s">
        <v>115</v>
      </c>
      <c r="K60" s="317" t="s">
        <v>115</v>
      </c>
      <c r="L60" s="317" t="s">
        <v>115</v>
      </c>
      <c r="M60" s="280" t="s">
        <v>116</v>
      </c>
      <c r="N60" s="275">
        <v>119</v>
      </c>
      <c r="O60" s="298" t="str">
        <f t="shared" ref="O60" si="95">IF(N60&lt;=0,"",IF(N60&lt;=2,"Muy Baja",IF(N60&lt;=24,"Baja",IF(N60&lt;=500,"Media",IF(N60&lt;=5000,"Alta","Muy Alta")))))</f>
        <v>Media</v>
      </c>
      <c r="P60" s="292">
        <f t="shared" ref="P60" si="96">IF(O60="","",IF(O60="Muy Baja",0.2,IF(O60="Baja",0.4,IF(O60="Media",0.6,IF(O60="Alta",0.8,IF(O60="Muy Alta",1,))))))</f>
        <v>0.6</v>
      </c>
      <c r="Q60" s="313" t="s">
        <v>117</v>
      </c>
      <c r="R60" s="292" t="str">
        <f>IF(NOT(ISERROR(MATCH(Q60,'Tabla Impacto'!$B$221:$B$223,0))),'Tabla Impacto'!$F$223&amp;"Por favor no seleccionar los criterios de impacto(Afectación Económica o presupuestal y Pérdida Reputacional)",Q60)</f>
        <v xml:space="preserve">     El riesgo afecta la imagen de la entidad con algunos usuarios de relevancia frente al logro de los objetivos</v>
      </c>
      <c r="S60" s="298" t="str">
        <f>IF(OR(R60='Tabla Impacto'!$C$11,R60='Tabla Impacto'!$D$11),"Leve",IF(OR(R60='Tabla Impacto'!$C$12,R60='Tabla Impacto'!$D$12),"Menor",IF(OR(R60='Tabla Impacto'!$C$13,R60='Tabla Impacto'!$D$13),"Moderado",IF(OR(R60='Tabla Impacto'!$C$14,R60='Tabla Impacto'!$D$14),"Mayor",IF(OR(R60='Tabla Impacto'!$C$15,R60='Tabla Impacto'!$D$15),"Catastrófico","")))))</f>
        <v>Moderado</v>
      </c>
      <c r="T60" s="292">
        <f t="shared" ref="T60" si="97">IF(S60="","",IF(S60="Leve",0.2,IF(S60="Menor",0.4,IF(S60="Moderado",0.6,IF(S60="Mayor",0.8,IF(S60="Catastrófico",1,))))))</f>
        <v>0.6</v>
      </c>
      <c r="U60" s="294" t="str">
        <f t="shared" ref="U60" si="98">IF(OR(AND(O60="Muy Baja",S60="Leve"),AND(O60="Muy Baja",S60="Menor"),AND(O60="Baja",S60="Leve")),"Bajo",IF(OR(AND(O60="Muy baja",S60="Moderado"),AND(O60="Baja",S60="Menor"),AND(O60="Baja",S60="Moderado"),AND(O60="Media",S60="Leve"),AND(O60="Media",S60="Menor"),AND(O60="Media",S60="Moderado"),AND(O60="Alta",S60="Leve"),AND(O60="Alta",S60="Menor")),"Moderado",IF(OR(AND(O60="Muy Baja",S60="Mayor"),AND(O60="Baja",S60="Mayor"),AND(O60="Media",S60="Mayor"),AND(O60="Alta",S60="Moderado"),AND(O60="Alta",S60="Mayor"),AND(O60="Muy Alta",S60="Leve"),AND(O60="Muy Alta",S60="Menor"),AND(O60="Muy Alta",S60="Moderado"),AND(O60="Muy Alta",S60="Mayor")),"Alto",IF(OR(AND(O60="Muy Baja",S60="Catastrófico"),AND(O60="Baja",S60="Catastrófico"),AND(O60="Media",S60="Catastrófico"),AND(O60="Alta",S60="Catastrófico"),AND(O60="Muy Alta",S60="Catastrófico")),"Extremo",""))))</f>
        <v>Moderado</v>
      </c>
      <c r="V60" s="87">
        <v>1</v>
      </c>
      <c r="W60" s="121" t="s">
        <v>470</v>
      </c>
      <c r="X60" s="88" t="str">
        <f t="shared" ref="X60:X62" si="99">IF(OR(Y60="Preventivo",Y60="Detectivo"),"Probabilidad",IF(Y60="Correctivo","Impacto",""))</f>
        <v>Probabilidad</v>
      </c>
      <c r="Y60" s="89" t="s">
        <v>119</v>
      </c>
      <c r="Z60" s="89" t="s">
        <v>120</v>
      </c>
      <c r="AA60" s="90" t="str">
        <f t="shared" ref="AA60:AA61" si="100">IF(AND(Y60="Preventivo",Z60="Automático"),"50%",IF(AND(Y60="Preventivo",Z60="Manual"),"40%",IF(AND(Y60="Detectivo",Z60="Automático"),"40%",IF(AND(Y60="Detectivo",Z60="Manual"),"30%",IF(AND(Y60="Correctivo",Z60="Automático"),"35%",IF(AND(Y60="Correctivo",Z60="Manual"),"25%",""))))))</f>
        <v>40%</v>
      </c>
      <c r="AB60" s="89" t="s">
        <v>121</v>
      </c>
      <c r="AC60" s="89" t="s">
        <v>122</v>
      </c>
      <c r="AD60" s="89" t="s">
        <v>123</v>
      </c>
      <c r="AE60" s="127">
        <f t="shared" ref="AE60" si="101">IFERROR(IF(X60="Probabilidad",(P60-(+P60*AA60)),IF(X60="Impacto",P60,"")),"")</f>
        <v>0.36</v>
      </c>
      <c r="AF60" s="91" t="str">
        <f t="shared" ref="AF60:AF62" si="102">IFERROR(IF(AE60="","",IF(AE60&lt;=0.2,"Muy Baja",IF(AE60&lt;=0.4,"Baja",IF(AE60&lt;=0.6,"Media",IF(AE60&lt;=0.8,"Alta","Muy Alta"))))),"")</f>
        <v>Baja</v>
      </c>
      <c r="AG60" s="92">
        <f t="shared" ref="AG60:AG61" si="103">+AE60</f>
        <v>0.36</v>
      </c>
      <c r="AH60" s="91" t="str">
        <f t="shared" ref="AH60:AH62" si="104">IFERROR(IF(AI60="","",IF(AI60&lt;=0.2,"Leve",IF(AI60&lt;=0.4,"Menor",IF(AI60&lt;=0.6,"Moderado",IF(AI60&lt;=0.8,"Mayor","Catastrófico"))))),"")</f>
        <v>Moderado</v>
      </c>
      <c r="AI60" s="92">
        <f t="shared" ref="AI60" si="105">IFERROR(IF(X60="Impacto",(T60-(+T60*AA60)),IF(X60="Probabilidad",T60,"")),"")</f>
        <v>0.6</v>
      </c>
      <c r="AJ60" s="93" t="str">
        <f t="shared" ref="AJ60:AJ61" si="106">IFERROR(IF(OR(AND(AF60="Muy Baja",AH60="Leve"),AND(AF60="Muy Baja",AH60="Menor"),AND(AF60="Baja",AH60="Leve")),"Bajo",IF(OR(AND(AF60="Muy baja",AH60="Moderado"),AND(AF60="Baja",AH60="Menor"),AND(AF60="Baja",AH60="Moderado"),AND(AF60="Media",AH60="Leve"),AND(AF60="Media",AH60="Menor"),AND(AF60="Media",AH60="Moderado"),AND(AF60="Alta",AH60="Leve"),AND(AF60="Alta",AH60="Menor")),"Moderado",IF(OR(AND(AF60="Muy Baja",AH60="Mayor"),AND(AF60="Baja",AH60="Mayor"),AND(AF60="Media",AH60="Mayor"),AND(AF60="Alta",AH60="Moderado"),AND(AF60="Alta",AH60="Mayor"),AND(AF60="Muy Alta",AH60="Leve"),AND(AF60="Muy Alta",AH60="Menor"),AND(AF60="Muy Alta",AH60="Moderado"),AND(AF60="Muy Alta",AH60="Mayor")),"Alto",IF(OR(AND(AF60="Muy Baja",AH60="Catastrófico"),AND(AF60="Baja",AH60="Catastrófico"),AND(AF60="Media",AH60="Catastrófico"),AND(AF60="Alta",AH60="Catastrófico"),AND(AF60="Muy Alta",AH60="Catastrófico")),"Extremo","")))),"")</f>
        <v>Moderado</v>
      </c>
      <c r="AK60" s="268" t="s">
        <v>124</v>
      </c>
      <c r="AL60" s="95" t="s">
        <v>471</v>
      </c>
      <c r="AM60" s="95" t="s">
        <v>141</v>
      </c>
      <c r="AN60" s="106" t="s">
        <v>216</v>
      </c>
      <c r="AO60" s="106" t="s">
        <v>472</v>
      </c>
      <c r="AP60" s="95" t="s">
        <v>473</v>
      </c>
      <c r="AQ60" s="96" t="s">
        <v>130</v>
      </c>
      <c r="AR60" s="95" t="s">
        <v>474</v>
      </c>
    </row>
    <row r="61" spans="1:44" ht="165.75" customHeight="1">
      <c r="A61" s="316"/>
      <c r="B61" s="316"/>
      <c r="C61" s="316"/>
      <c r="D61" s="316"/>
      <c r="E61" s="316"/>
      <c r="F61" s="316"/>
      <c r="G61" s="316"/>
      <c r="H61" s="316"/>
      <c r="I61" s="273"/>
      <c r="J61" s="273"/>
      <c r="K61" s="273"/>
      <c r="L61" s="273"/>
      <c r="M61" s="278"/>
      <c r="N61" s="318"/>
      <c r="O61" s="300"/>
      <c r="P61" s="293"/>
      <c r="Q61" s="319"/>
      <c r="R61" s="293"/>
      <c r="S61" s="300"/>
      <c r="T61" s="293"/>
      <c r="U61" s="295"/>
      <c r="V61" s="124">
        <v>2</v>
      </c>
      <c r="W61" s="121" t="s">
        <v>475</v>
      </c>
      <c r="X61" s="88" t="str">
        <f t="shared" si="99"/>
        <v>Probabilidad</v>
      </c>
      <c r="Y61" s="89" t="s">
        <v>119</v>
      </c>
      <c r="Z61" s="89" t="s">
        <v>154</v>
      </c>
      <c r="AA61" s="90" t="str">
        <f t="shared" si="100"/>
        <v>50%</v>
      </c>
      <c r="AB61" s="89" t="s">
        <v>121</v>
      </c>
      <c r="AC61" s="89" t="s">
        <v>122</v>
      </c>
      <c r="AD61" s="89" t="s">
        <v>123</v>
      </c>
      <c r="AE61" s="127">
        <f>IFERROR(IF(AND(X60="Probabilidad",X61="Probabilidad"),(AG60-(+AG60*AA61)),IF(X61="Probabilidad",(P60-(+P60*AA61)),IF(X61="Impacto",AG60,""))),"")</f>
        <v>0.18</v>
      </c>
      <c r="AF61" s="91" t="str">
        <f t="shared" si="102"/>
        <v>Muy Baja</v>
      </c>
      <c r="AG61" s="92">
        <f t="shared" si="103"/>
        <v>0.18</v>
      </c>
      <c r="AH61" s="91" t="str">
        <f t="shared" si="104"/>
        <v>Moderado</v>
      </c>
      <c r="AI61" s="92">
        <f>IFERROR(IF(AND(X60="Impacto",X61="Impacto"),(AI60-(+AI60*AA61)),IF(X61="Impacto",($T$15-(+$T$15*AA61)),IF(X61="Probabilidad",AI60,""))),"")</f>
        <v>0.6</v>
      </c>
      <c r="AJ61" s="93" t="str">
        <f t="shared" si="106"/>
        <v>Moderado</v>
      </c>
      <c r="AK61" s="269"/>
      <c r="AL61" s="95" t="s">
        <v>476</v>
      </c>
      <c r="AM61" s="95" t="s">
        <v>141</v>
      </c>
      <c r="AN61" s="106" t="s">
        <v>216</v>
      </c>
      <c r="AO61" s="106" t="s">
        <v>472</v>
      </c>
      <c r="AP61" s="95" t="s">
        <v>477</v>
      </c>
      <c r="AQ61" s="96" t="s">
        <v>130</v>
      </c>
      <c r="AR61" s="95" t="s">
        <v>478</v>
      </c>
    </row>
    <row r="62" spans="1:44" ht="166.5" customHeight="1">
      <c r="A62" s="86" t="s">
        <v>479</v>
      </c>
      <c r="B62" s="86" t="s">
        <v>480</v>
      </c>
      <c r="C62" s="86" t="s">
        <v>481</v>
      </c>
      <c r="D62" s="86" t="s">
        <v>110</v>
      </c>
      <c r="E62" s="86" t="s">
        <v>148</v>
      </c>
      <c r="F62" s="86" t="s">
        <v>482</v>
      </c>
      <c r="G62" s="86" t="s">
        <v>483</v>
      </c>
      <c r="H62" s="86" t="s">
        <v>484</v>
      </c>
      <c r="I62" s="103" t="s">
        <v>115</v>
      </c>
      <c r="J62" s="103" t="s">
        <v>115</v>
      </c>
      <c r="K62" s="103" t="s">
        <v>115</v>
      </c>
      <c r="L62" s="103" t="s">
        <v>115</v>
      </c>
      <c r="M62" s="115" t="s">
        <v>116</v>
      </c>
      <c r="N62" s="120">
        <v>33</v>
      </c>
      <c r="O62" s="118" t="str">
        <f t="shared" ref="O62:O67" si="107">IF(N62&lt;=0,"",IF(N62&lt;=2,"Muy Baja",IF(N62&lt;=24,"Baja",IF(N62&lt;=500,"Media",IF(N62&lt;=5000,"Alta","Muy Alta")))))</f>
        <v>Media</v>
      </c>
      <c r="P62" s="117">
        <f t="shared" ref="P62:P67" si="108">IF(O62="","",IF(O62="Muy Baja",0.2,IF(O62="Baja",0.4,IF(O62="Media",0.6,IF(O62="Alta",0.8,IF(O62="Muy Alta",1,))))))</f>
        <v>0.6</v>
      </c>
      <c r="Q62" s="192" t="s">
        <v>117</v>
      </c>
      <c r="R62" s="117" t="str">
        <f>IF(NOT(ISERROR(MATCH(Q62,'Tabla Impacto'!$B$221:$B$223,0))),'Tabla Impacto'!$F$223&amp;"Por favor no seleccionar los criterios de impacto(Afectación Económica o presupuestal y Pérdida Reputacional)",Q62)</f>
        <v xml:space="preserve">     El riesgo afecta la imagen de la entidad con algunos usuarios de relevancia frente al logro de los objetivos</v>
      </c>
      <c r="S62" s="118" t="str">
        <f>IF(OR(R62='Tabla Impacto'!$C$11,R62='Tabla Impacto'!$D$11),"Leve",IF(OR(R62='Tabla Impacto'!$C$12,R62='Tabla Impacto'!$D$12),"Menor",IF(OR(R62='Tabla Impacto'!$C$13,R62='Tabla Impacto'!$D$13),"Moderado",IF(OR(R62='Tabla Impacto'!$C$14,R62='Tabla Impacto'!$D$14),"Mayor",IF(OR(R62='Tabla Impacto'!$C$15,R62='Tabla Impacto'!$D$15),"Catastrófico","")))))</f>
        <v>Moderado</v>
      </c>
      <c r="T62" s="117">
        <f t="shared" ref="T62:T67" si="109">IF(S62="","",IF(S62="Leve",0.2,IF(S62="Menor",0.4,IF(S62="Moderado",0.6,IF(S62="Mayor",0.8,IF(S62="Catastrófico",1,))))))</f>
        <v>0.6</v>
      </c>
      <c r="U62" s="119" t="str">
        <f t="shared" ref="U62:U67" si="110">IF(OR(AND(O62="Muy Baja",S62="Leve"),AND(O62="Muy Baja",S62="Menor"),AND(O62="Baja",S62="Leve")),"Bajo",IF(OR(AND(O62="Muy baja",S62="Moderado"),AND(O62="Baja",S62="Menor"),AND(O62="Baja",S62="Moderado"),AND(O62="Media",S62="Leve"),AND(O62="Media",S62="Menor"),AND(O62="Media",S62="Moderado"),AND(O62="Alta",S62="Leve"),AND(O62="Alta",S62="Menor")),"Moderado",IF(OR(AND(O62="Muy Baja",S62="Mayor"),AND(O62="Baja",S62="Mayor"),AND(O62="Media",S62="Mayor"),AND(O62="Alta",S62="Moderado"),AND(O62="Alta",S62="Mayor"),AND(O62="Muy Alta",S62="Leve"),AND(O62="Muy Alta",S62="Menor"),AND(O62="Muy Alta",S62="Moderado"),AND(O62="Muy Alta",S62="Mayor")),"Alto",IF(OR(AND(O62="Muy Baja",S62="Catastrófico"),AND(O62="Baja",S62="Catastrófico"),AND(O62="Media",S62="Catastrófico"),AND(O62="Alta",S62="Catastrófico"),AND(O62="Muy Alta",S62="Catastrófico")),"Extremo",""))))</f>
        <v>Moderado</v>
      </c>
      <c r="V62" s="116">
        <v>1</v>
      </c>
      <c r="W62" s="110" t="s">
        <v>485</v>
      </c>
      <c r="X62" s="190" t="str">
        <f t="shared" si="99"/>
        <v>Probabilidad</v>
      </c>
      <c r="Y62" s="94" t="s">
        <v>119</v>
      </c>
      <c r="Z62" s="94" t="s">
        <v>120</v>
      </c>
      <c r="AA62" s="92" t="str">
        <f t="shared" ref="AA62" si="111">IF(AND(Y62="Preventivo",Z62="Automático"),"50%",IF(AND(Y62="Preventivo",Z62="Manual"),"40%",IF(AND(Y62="Detectivo",Z62="Automático"),"40%",IF(AND(Y62="Detectivo",Z62="Manual"),"30%",IF(AND(Y62="Correctivo",Z62="Automático"),"35%",IF(AND(Y62="Correctivo",Z62="Manual"),"25%",""))))))</f>
        <v>40%</v>
      </c>
      <c r="AB62" s="94" t="s">
        <v>121</v>
      </c>
      <c r="AC62" s="94" t="s">
        <v>122</v>
      </c>
      <c r="AD62" s="94" t="s">
        <v>123</v>
      </c>
      <c r="AE62" s="215">
        <f t="shared" ref="AE62" si="112">IFERROR(IF(X62="Probabilidad",(P62-(+P62*AA62)),IF(X62="Impacto",P62,"")),"")</f>
        <v>0.36</v>
      </c>
      <c r="AF62" s="216" t="str">
        <f t="shared" si="102"/>
        <v>Baja</v>
      </c>
      <c r="AG62" s="92">
        <f t="shared" ref="AG62" si="113">+AE62</f>
        <v>0.36</v>
      </c>
      <c r="AH62" s="217" t="str">
        <f t="shared" si="104"/>
        <v>Moderado</v>
      </c>
      <c r="AI62" s="92">
        <f t="shared" ref="AI62" si="114">IFERROR(IF(X62="Impacto",(T62-(+T62*AA62)),IF(X62="Probabilidad",T62,"")),"")</f>
        <v>0.6</v>
      </c>
      <c r="AJ62" s="214" t="str">
        <f t="shared" ref="AJ62" si="11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Moderado</v>
      </c>
      <c r="AK62" s="94" t="s">
        <v>124</v>
      </c>
      <c r="AL62" s="95" t="s">
        <v>486</v>
      </c>
      <c r="AM62" s="95" t="s">
        <v>269</v>
      </c>
      <c r="AN62" s="106" t="s">
        <v>216</v>
      </c>
      <c r="AO62" s="106" t="s">
        <v>487</v>
      </c>
      <c r="AP62" s="135" t="s">
        <v>488</v>
      </c>
      <c r="AQ62" s="96" t="s">
        <v>130</v>
      </c>
      <c r="AR62" s="95" t="s">
        <v>489</v>
      </c>
    </row>
    <row r="63" spans="1:44" ht="149.25" customHeight="1">
      <c r="A63" s="86" t="s">
        <v>490</v>
      </c>
      <c r="B63" s="86" t="s">
        <v>491</v>
      </c>
      <c r="C63" s="86" t="s">
        <v>492</v>
      </c>
      <c r="D63" s="86" t="s">
        <v>110</v>
      </c>
      <c r="E63" s="86" t="s">
        <v>148</v>
      </c>
      <c r="F63" s="86" t="s">
        <v>493</v>
      </c>
      <c r="G63" s="86" t="s">
        <v>494</v>
      </c>
      <c r="H63" s="86" t="s">
        <v>495</v>
      </c>
      <c r="I63" s="103" t="s">
        <v>115</v>
      </c>
      <c r="J63" s="103" t="s">
        <v>115</v>
      </c>
      <c r="K63" s="103" t="s">
        <v>115</v>
      </c>
      <c r="L63" s="103" t="s">
        <v>115</v>
      </c>
      <c r="M63" s="115" t="s">
        <v>116</v>
      </c>
      <c r="N63" s="120">
        <v>501</v>
      </c>
      <c r="O63" s="118" t="str">
        <f t="shared" si="107"/>
        <v>Alta</v>
      </c>
      <c r="P63" s="117">
        <f t="shared" si="108"/>
        <v>0.8</v>
      </c>
      <c r="Q63" s="113" t="s">
        <v>117</v>
      </c>
      <c r="R63" s="109" t="str">
        <f>IF(NOT(ISERROR(MATCH(Q63,'Tabla Impacto'!$B$221:$B$223,0))),'Tabla Impacto'!$F$223&amp;"Por favor no seleccionar los criterios de impacto(Afectación Económica o presupuestal y Pérdida Reputacional)",Q63)</f>
        <v xml:space="preserve">     El riesgo afecta la imagen de la entidad con algunos usuarios de relevancia frente al logro de los objetivos</v>
      </c>
      <c r="S63" s="118" t="str">
        <f>IF(OR(R63='Tabla Impacto'!$C$11,R63='Tabla Impacto'!$D$11),"Leve",IF(OR(R63='Tabla Impacto'!$C$12,R63='Tabla Impacto'!$D$12),"Menor",IF(OR(R63='Tabla Impacto'!$C$13,R63='Tabla Impacto'!$D$13),"Moderado",IF(OR(R63='Tabla Impacto'!$C$14,R63='Tabla Impacto'!$D$14),"Mayor",IF(OR(R63='Tabla Impacto'!$C$15,R63='Tabla Impacto'!$D$15),"Catastrófico","")))))</f>
        <v>Moderado</v>
      </c>
      <c r="T63" s="117">
        <f t="shared" si="109"/>
        <v>0.6</v>
      </c>
      <c r="U63" s="119" t="str">
        <f t="shared" si="110"/>
        <v>Alto</v>
      </c>
      <c r="V63" s="87">
        <v>1</v>
      </c>
      <c r="W63" s="218" t="s">
        <v>496</v>
      </c>
      <c r="X63" s="88" t="str">
        <f t="shared" ref="X63" si="116">IF(OR(Y63="Preventivo",Y63="Detectivo"),"Probabilidad",IF(Y63="Correctivo","Impacto",""))</f>
        <v>Probabilidad</v>
      </c>
      <c r="Y63" s="89" t="s">
        <v>119</v>
      </c>
      <c r="Z63" s="89" t="s">
        <v>120</v>
      </c>
      <c r="AA63" s="90" t="str">
        <f t="shared" ref="AA63" si="117">IF(AND(Y63="Preventivo",Z63="Automático"),"50%",IF(AND(Y63="Preventivo",Z63="Manual"),"40%",IF(AND(Y63="Detectivo",Z63="Automático"),"40%",IF(AND(Y63="Detectivo",Z63="Manual"),"30%",IF(AND(Y63="Correctivo",Z63="Automático"),"35%",IF(AND(Y63="Correctivo",Z63="Manual"),"25%",""))))))</f>
        <v>40%</v>
      </c>
      <c r="AB63" s="89" t="s">
        <v>121</v>
      </c>
      <c r="AC63" s="89" t="s">
        <v>122</v>
      </c>
      <c r="AD63" s="89" t="s">
        <v>123</v>
      </c>
      <c r="AE63" s="127">
        <f t="shared" ref="AE63" si="118">IFERROR(IF(X63="Probabilidad",(P63-(+P63*AA63)),IF(X63="Impacto",P63,"")),"")</f>
        <v>0.48</v>
      </c>
      <c r="AF63" s="91" t="str">
        <f t="shared" ref="AF63" si="119">IFERROR(IF(AE63="","",IF(AE63&lt;=0.2,"Muy Baja",IF(AE63&lt;=0.4,"Baja",IF(AE63&lt;=0.6,"Media",IF(AE63&lt;=0.8,"Alta","Muy Alta"))))),"")</f>
        <v>Media</v>
      </c>
      <c r="AG63" s="92">
        <f t="shared" ref="AG63" si="120">+AE63</f>
        <v>0.48</v>
      </c>
      <c r="AH63" s="91" t="str">
        <f t="shared" ref="AH63" si="121">IFERROR(IF(AI63="","",IF(AI63&lt;=0.2,"Leve",IF(AI63&lt;=0.4,"Menor",IF(AI63&lt;=0.6,"Moderado",IF(AI63&lt;=0.8,"Mayor","Catastrófico"))))),"")</f>
        <v>Moderado</v>
      </c>
      <c r="AI63" s="92">
        <f t="shared" ref="AI63" si="122">IFERROR(IF(X63="Impacto",(T63-(+T63*AA63)),IF(X63="Probabilidad",T63,"")),"")</f>
        <v>0.6</v>
      </c>
      <c r="AJ63" s="93" t="str">
        <f t="shared" ref="AJ63" si="123">IFERROR(IF(OR(AND(AF63="Muy Baja",AH63="Leve"),AND(AF63="Muy Baja",AH63="Menor"),AND(AF63="Baja",AH63="Leve")),"Bajo",IF(OR(AND(AF63="Muy baja",AH63="Moderado"),AND(AF63="Baja",AH63="Menor"),AND(AF63="Baja",AH63="Moderado"),AND(AF63="Media",AH63="Leve"),AND(AF63="Media",AH63="Menor"),AND(AF63="Media",AH63="Moderado"),AND(AF63="Alta",AH63="Leve"),AND(AF63="Alta",AH63="Menor")),"Moderado",IF(OR(AND(AF63="Muy Baja",AH63="Mayor"),AND(AF63="Baja",AH63="Mayor"),AND(AF63="Media",AH63="Mayor"),AND(AF63="Alta",AH63="Moderado"),AND(AF63="Alta",AH63="Mayor"),AND(AF63="Muy Alta",AH63="Leve"),AND(AF63="Muy Alta",AH63="Menor"),AND(AF63="Muy Alta",AH63="Moderado"),AND(AF63="Muy Alta",AH63="Mayor")),"Alto",IF(OR(AND(AF63="Muy Baja",AH63="Catastrófico"),AND(AF63="Baja",AH63="Catastrófico"),AND(AF63="Media",AH63="Catastrófico"),AND(AF63="Alta",AH63="Catastrófico"),AND(AF63="Muy Alta",AH63="Catastrófico")),"Extremo","")))),"")</f>
        <v>Moderado</v>
      </c>
      <c r="AK63" s="94" t="s">
        <v>124</v>
      </c>
      <c r="AL63" s="95" t="s">
        <v>497</v>
      </c>
      <c r="AM63" s="95" t="s">
        <v>498</v>
      </c>
      <c r="AN63" s="106" t="s">
        <v>216</v>
      </c>
      <c r="AO63" s="106" t="s">
        <v>499</v>
      </c>
      <c r="AP63" s="95" t="s">
        <v>500</v>
      </c>
      <c r="AQ63" s="96" t="s">
        <v>130</v>
      </c>
      <c r="AR63" s="95" t="s">
        <v>501</v>
      </c>
    </row>
    <row r="64" spans="1:44" ht="142.5" customHeight="1">
      <c r="A64" s="95" t="s">
        <v>502</v>
      </c>
      <c r="B64" s="95" t="s">
        <v>480</v>
      </c>
      <c r="C64" s="86" t="s">
        <v>481</v>
      </c>
      <c r="D64" s="86" t="s">
        <v>110</v>
      </c>
      <c r="E64" s="86" t="s">
        <v>111</v>
      </c>
      <c r="F64" s="95" t="s">
        <v>503</v>
      </c>
      <c r="G64" s="95" t="s">
        <v>504</v>
      </c>
      <c r="H64" s="95" t="s">
        <v>505</v>
      </c>
      <c r="I64" s="103" t="s">
        <v>115</v>
      </c>
      <c r="J64" s="103" t="s">
        <v>115</v>
      </c>
      <c r="K64" s="103" t="s">
        <v>115</v>
      </c>
      <c r="L64" s="103" t="s">
        <v>115</v>
      </c>
      <c r="M64" s="115" t="s">
        <v>116</v>
      </c>
      <c r="N64" s="120">
        <v>1</v>
      </c>
      <c r="O64" s="118" t="str">
        <f t="shared" si="107"/>
        <v>Muy Baja</v>
      </c>
      <c r="P64" s="117">
        <f t="shared" si="108"/>
        <v>0.2</v>
      </c>
      <c r="Q64" s="113" t="s">
        <v>117</v>
      </c>
      <c r="R64" s="109" t="str">
        <f>IF(NOT(ISERROR(MATCH(Q64,'Tabla Impacto'!$B$221:$B$223,0))),'Tabla Impacto'!$F$223&amp;"Por favor no seleccionar los criterios de impacto(Afectación Económica o presupuestal y Pérdida Reputacional)",Q64)</f>
        <v xml:space="preserve">     El riesgo afecta la imagen de la entidad con algunos usuarios de relevancia frente al logro de los objetivos</v>
      </c>
      <c r="S64" s="118" t="str">
        <f>IF(OR(R64='Tabla Impacto'!$C$11,R64='Tabla Impacto'!$D$11),"Leve",IF(OR(R64='Tabla Impacto'!$C$12,R64='Tabla Impacto'!$D$12),"Menor",IF(OR(R64='Tabla Impacto'!$C$13,R64='Tabla Impacto'!$D$13),"Moderado",IF(OR(R64='Tabla Impacto'!$C$14,R64='Tabla Impacto'!$D$14),"Mayor",IF(OR(R64='Tabla Impacto'!$C$15,R64='Tabla Impacto'!$D$15),"Catastrófico","")))))</f>
        <v>Moderado</v>
      </c>
      <c r="T64" s="117">
        <f t="shared" si="109"/>
        <v>0.6</v>
      </c>
      <c r="U64" s="119" t="str">
        <f t="shared" si="110"/>
        <v>Moderado</v>
      </c>
      <c r="V64" s="87">
        <v>1</v>
      </c>
      <c r="W64" s="95" t="s">
        <v>506</v>
      </c>
      <c r="X64" s="88" t="str">
        <f t="shared" ref="X64" si="124">IF(OR(Y64="Preventivo",Y64="Detectivo"),"Probabilidad",IF(Y64="Correctivo","Impacto",""))</f>
        <v>Probabilidad</v>
      </c>
      <c r="Y64" s="89" t="s">
        <v>119</v>
      </c>
      <c r="Z64" s="89" t="s">
        <v>120</v>
      </c>
      <c r="AA64" s="90" t="str">
        <f t="shared" ref="AA64" si="125">IF(AND(Y64="Preventivo",Z64="Automático"),"50%",IF(AND(Y64="Preventivo",Z64="Manual"),"40%",IF(AND(Y64="Detectivo",Z64="Automático"),"40%",IF(AND(Y64="Detectivo",Z64="Manual"),"30%",IF(AND(Y64="Correctivo",Z64="Automático"),"35%",IF(AND(Y64="Correctivo",Z64="Manual"),"25%",""))))))</f>
        <v>40%</v>
      </c>
      <c r="AB64" s="89" t="s">
        <v>121</v>
      </c>
      <c r="AC64" s="89" t="s">
        <v>122</v>
      </c>
      <c r="AD64" s="89" t="s">
        <v>123</v>
      </c>
      <c r="AE64" s="127">
        <f t="shared" ref="AE64" si="126">IFERROR(IF(X64="Probabilidad",(P64-(+P64*AA64)),IF(X64="Impacto",P64,"")),"")</f>
        <v>0.12</v>
      </c>
      <c r="AF64" s="91" t="str">
        <f t="shared" ref="AF64" si="127">IFERROR(IF(AE64="","",IF(AE64&lt;=0.2,"Muy Baja",IF(AE64&lt;=0.4,"Baja",IF(AE64&lt;=0.6,"Media",IF(AE64&lt;=0.8,"Alta","Muy Alta"))))),"")</f>
        <v>Muy Baja</v>
      </c>
      <c r="AG64" s="92">
        <f t="shared" ref="AG64" si="128">+AE64</f>
        <v>0.12</v>
      </c>
      <c r="AH64" s="91" t="str">
        <f t="shared" ref="AH64" si="129">IFERROR(IF(AI64="","",IF(AI64&lt;=0.2,"Leve",IF(AI64&lt;=0.4,"Menor",IF(AI64&lt;=0.6,"Moderado",IF(AI64&lt;=0.8,"Mayor","Catastrófico"))))),"")</f>
        <v>Moderado</v>
      </c>
      <c r="AI64" s="92">
        <f t="shared" ref="AI64" si="130">IFERROR(IF(X64="Impacto",(T64-(+T64*AA64)),IF(X64="Probabilidad",T64,"")),"")</f>
        <v>0.6</v>
      </c>
      <c r="AJ64" s="93" t="str">
        <f t="shared" ref="AJ64" si="131">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Moderado</v>
      </c>
      <c r="AK64" s="94" t="s">
        <v>124</v>
      </c>
      <c r="AL64" s="95" t="s">
        <v>507</v>
      </c>
      <c r="AM64" s="95" t="s">
        <v>269</v>
      </c>
      <c r="AN64" s="106" t="s">
        <v>508</v>
      </c>
      <c r="AO64" s="106" t="s">
        <v>509</v>
      </c>
      <c r="AP64" s="106" t="s">
        <v>510</v>
      </c>
      <c r="AQ64" s="96" t="s">
        <v>145</v>
      </c>
      <c r="AR64" s="95" t="s">
        <v>511</v>
      </c>
    </row>
    <row r="65" spans="1:44" ht="153" customHeight="1">
      <c r="A65" s="95" t="s">
        <v>512</v>
      </c>
      <c r="B65" s="95" t="s">
        <v>480</v>
      </c>
      <c r="C65" s="86" t="s">
        <v>481</v>
      </c>
      <c r="D65" s="86" t="s">
        <v>110</v>
      </c>
      <c r="E65" s="86" t="s">
        <v>111</v>
      </c>
      <c r="F65" s="95" t="s">
        <v>513</v>
      </c>
      <c r="G65" s="95" t="s">
        <v>514</v>
      </c>
      <c r="H65" s="95" t="s">
        <v>515</v>
      </c>
      <c r="I65" s="103" t="s">
        <v>115</v>
      </c>
      <c r="J65" s="103" t="s">
        <v>115</v>
      </c>
      <c r="K65" s="103" t="s">
        <v>115</v>
      </c>
      <c r="L65" s="103" t="s">
        <v>115</v>
      </c>
      <c r="M65" s="115" t="s">
        <v>116</v>
      </c>
      <c r="N65" s="120">
        <v>1</v>
      </c>
      <c r="O65" s="118" t="str">
        <f t="shared" si="107"/>
        <v>Muy Baja</v>
      </c>
      <c r="P65" s="117">
        <f t="shared" si="108"/>
        <v>0.2</v>
      </c>
      <c r="Q65" s="113" t="s">
        <v>117</v>
      </c>
      <c r="R65" s="109" t="str">
        <f>IF(NOT(ISERROR(MATCH(Q65,'Tabla Impacto'!$B$221:$B$223,0))),'Tabla Impacto'!$F$223&amp;"Por favor no seleccionar los criterios de impacto(Afectación Económica o presupuestal y Pérdida Reputacional)",Q65)</f>
        <v xml:space="preserve">     El riesgo afecta la imagen de la entidad con algunos usuarios de relevancia frente al logro de los objetivos</v>
      </c>
      <c r="S65" s="118" t="str">
        <f>IF(OR(R65='Tabla Impacto'!$C$11,R65='Tabla Impacto'!$D$11),"Leve",IF(OR(R65='Tabla Impacto'!$C$12,R65='Tabla Impacto'!$D$12),"Menor",IF(OR(R65='Tabla Impacto'!$C$13,R65='Tabla Impacto'!$D$13),"Moderado",IF(OR(R65='Tabla Impacto'!$C$14,R65='Tabla Impacto'!$D$14),"Mayor",IF(OR(R65='Tabla Impacto'!$C$15,R65='Tabla Impacto'!$D$15),"Catastrófico","")))))</f>
        <v>Moderado</v>
      </c>
      <c r="T65" s="117">
        <f t="shared" si="109"/>
        <v>0.6</v>
      </c>
      <c r="U65" s="119" t="str">
        <f t="shared" si="110"/>
        <v>Moderado</v>
      </c>
      <c r="V65" s="87">
        <v>1</v>
      </c>
      <c r="W65" s="95" t="s">
        <v>516</v>
      </c>
      <c r="X65" s="88" t="str">
        <f t="shared" ref="X65" si="132">IF(OR(Y65="Preventivo",Y65="Detectivo"),"Probabilidad",IF(Y65="Correctivo","Impacto",""))</f>
        <v>Probabilidad</v>
      </c>
      <c r="Y65" s="89" t="s">
        <v>119</v>
      </c>
      <c r="Z65" s="89" t="s">
        <v>120</v>
      </c>
      <c r="AA65" s="90" t="str">
        <f t="shared" ref="AA65" si="133">IF(AND(Y65="Preventivo",Z65="Automático"),"50%",IF(AND(Y65="Preventivo",Z65="Manual"),"40%",IF(AND(Y65="Detectivo",Z65="Automático"),"40%",IF(AND(Y65="Detectivo",Z65="Manual"),"30%",IF(AND(Y65="Correctivo",Z65="Automático"),"35%",IF(AND(Y65="Correctivo",Z65="Manual"),"25%",""))))))</f>
        <v>40%</v>
      </c>
      <c r="AB65" s="89" t="s">
        <v>121</v>
      </c>
      <c r="AC65" s="89" t="s">
        <v>122</v>
      </c>
      <c r="AD65" s="89" t="s">
        <v>123</v>
      </c>
      <c r="AE65" s="127">
        <f t="shared" ref="AE65" si="134">IFERROR(IF(X65="Probabilidad",(P65-(+P65*AA65)),IF(X65="Impacto",P65,"")),"")</f>
        <v>0.12</v>
      </c>
      <c r="AF65" s="91" t="str">
        <f t="shared" ref="AF65" si="135">IFERROR(IF(AE65="","",IF(AE65&lt;=0.2,"Muy Baja",IF(AE65&lt;=0.4,"Baja",IF(AE65&lt;=0.6,"Media",IF(AE65&lt;=0.8,"Alta","Muy Alta"))))),"")</f>
        <v>Muy Baja</v>
      </c>
      <c r="AG65" s="92">
        <f t="shared" ref="AG65" si="136">+AE65</f>
        <v>0.12</v>
      </c>
      <c r="AH65" s="91" t="str">
        <f t="shared" ref="AH65" si="137">IFERROR(IF(AI65="","",IF(AI65&lt;=0.2,"Leve",IF(AI65&lt;=0.4,"Menor",IF(AI65&lt;=0.6,"Moderado",IF(AI65&lt;=0.8,"Mayor","Catastrófico"))))),"")</f>
        <v>Moderado</v>
      </c>
      <c r="AI65" s="92">
        <f t="shared" ref="AI65" si="138">IFERROR(IF(X65="Impacto",(T65-(+T65*AA65)),IF(X65="Probabilidad",T65,"")),"")</f>
        <v>0.6</v>
      </c>
      <c r="AJ65" s="93" t="str">
        <f t="shared" ref="AJ65" si="13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Moderado</v>
      </c>
      <c r="AK65" s="94" t="s">
        <v>124</v>
      </c>
      <c r="AL65" s="95" t="s">
        <v>517</v>
      </c>
      <c r="AM65" s="95" t="s">
        <v>269</v>
      </c>
      <c r="AN65" s="106" t="s">
        <v>518</v>
      </c>
      <c r="AO65" s="106" t="s">
        <v>487</v>
      </c>
      <c r="AP65" s="106" t="s">
        <v>519</v>
      </c>
      <c r="AQ65" s="96" t="s">
        <v>130</v>
      </c>
      <c r="AR65" s="95" t="s">
        <v>520</v>
      </c>
    </row>
    <row r="66" spans="1:44" ht="132" customHeight="1">
      <c r="A66" s="95" t="s">
        <v>521</v>
      </c>
      <c r="B66" s="95" t="s">
        <v>480</v>
      </c>
      <c r="C66" s="86" t="s">
        <v>481</v>
      </c>
      <c r="D66" s="86" t="s">
        <v>110</v>
      </c>
      <c r="E66" s="86" t="s">
        <v>111</v>
      </c>
      <c r="F66" s="95" t="s">
        <v>522</v>
      </c>
      <c r="G66" s="95" t="s">
        <v>504</v>
      </c>
      <c r="H66" s="95" t="s">
        <v>523</v>
      </c>
      <c r="I66" s="103" t="s">
        <v>115</v>
      </c>
      <c r="J66" s="103" t="s">
        <v>115</v>
      </c>
      <c r="K66" s="103" t="s">
        <v>115</v>
      </c>
      <c r="L66" s="103" t="s">
        <v>115</v>
      </c>
      <c r="M66" s="115" t="s">
        <v>116</v>
      </c>
      <c r="N66" s="120">
        <v>1</v>
      </c>
      <c r="O66" s="118" t="str">
        <f t="shared" si="107"/>
        <v>Muy Baja</v>
      </c>
      <c r="P66" s="117">
        <f t="shared" si="108"/>
        <v>0.2</v>
      </c>
      <c r="Q66" s="113" t="s">
        <v>117</v>
      </c>
      <c r="R66" s="109" t="str">
        <f>IF(NOT(ISERROR(MATCH(Q66,'Tabla Impacto'!$B$221:$B$223,0))),'Tabla Impacto'!$F$223&amp;"Por favor no seleccionar los criterios de impacto(Afectación Económica o presupuestal y Pérdida Reputacional)",Q66)</f>
        <v xml:space="preserve">     El riesgo afecta la imagen de la entidad con algunos usuarios de relevancia frente al logro de los objetivos</v>
      </c>
      <c r="S66" s="118" t="str">
        <f>IF(OR(R66='Tabla Impacto'!$C$11,R66='Tabla Impacto'!$D$11),"Leve",IF(OR(R66='Tabla Impacto'!$C$12,R66='Tabla Impacto'!$D$12),"Menor",IF(OR(R66='Tabla Impacto'!$C$13,R66='Tabla Impacto'!$D$13),"Moderado",IF(OR(R66='Tabla Impacto'!$C$14,R66='Tabla Impacto'!$D$14),"Mayor",IF(OR(R66='Tabla Impacto'!$C$15,R66='Tabla Impacto'!$D$15),"Catastrófico","")))))</f>
        <v>Moderado</v>
      </c>
      <c r="T66" s="117">
        <f t="shared" si="109"/>
        <v>0.6</v>
      </c>
      <c r="U66" s="119" t="str">
        <f t="shared" si="110"/>
        <v>Moderado</v>
      </c>
      <c r="V66" s="87">
        <v>1</v>
      </c>
      <c r="W66" s="95" t="s">
        <v>524</v>
      </c>
      <c r="X66" s="88" t="str">
        <f t="shared" ref="X66" si="140">IF(OR(Y66="Preventivo",Y66="Detectivo"),"Probabilidad",IF(Y66="Correctivo","Impacto",""))</f>
        <v>Probabilidad</v>
      </c>
      <c r="Y66" s="89" t="s">
        <v>119</v>
      </c>
      <c r="Z66" s="89" t="s">
        <v>120</v>
      </c>
      <c r="AA66" s="90" t="str">
        <f t="shared" ref="AA66" si="141">IF(AND(Y66="Preventivo",Z66="Automático"),"50%",IF(AND(Y66="Preventivo",Z66="Manual"),"40%",IF(AND(Y66="Detectivo",Z66="Automático"),"40%",IF(AND(Y66="Detectivo",Z66="Manual"),"30%",IF(AND(Y66="Correctivo",Z66="Automático"),"35%",IF(AND(Y66="Correctivo",Z66="Manual"),"25%",""))))))</f>
        <v>40%</v>
      </c>
      <c r="AB66" s="89" t="s">
        <v>121</v>
      </c>
      <c r="AC66" s="89" t="s">
        <v>122</v>
      </c>
      <c r="AD66" s="89" t="s">
        <v>123</v>
      </c>
      <c r="AE66" s="127">
        <f t="shared" ref="AE66" si="142">IFERROR(IF(X66="Probabilidad",(P66-(+P66*AA66)),IF(X66="Impacto",P66,"")),"")</f>
        <v>0.12</v>
      </c>
      <c r="AF66" s="91" t="str">
        <f t="shared" ref="AF66" si="143">IFERROR(IF(AE66="","",IF(AE66&lt;=0.2,"Muy Baja",IF(AE66&lt;=0.4,"Baja",IF(AE66&lt;=0.6,"Media",IF(AE66&lt;=0.8,"Alta","Muy Alta"))))),"")</f>
        <v>Muy Baja</v>
      </c>
      <c r="AG66" s="92">
        <f t="shared" ref="AG66" si="144">+AE66</f>
        <v>0.12</v>
      </c>
      <c r="AH66" s="91" t="str">
        <f t="shared" ref="AH66" si="145">IFERROR(IF(AI66="","",IF(AI66&lt;=0.2,"Leve",IF(AI66&lt;=0.4,"Menor",IF(AI66&lt;=0.6,"Moderado",IF(AI66&lt;=0.8,"Mayor","Catastrófico"))))),"")</f>
        <v>Moderado</v>
      </c>
      <c r="AI66" s="92">
        <f t="shared" ref="AI66" si="146">IFERROR(IF(X66="Impacto",(T66-(+T66*AA66)),IF(X66="Probabilidad",T66,"")),"")</f>
        <v>0.6</v>
      </c>
      <c r="AJ66" s="93" t="str">
        <f t="shared" ref="AJ66" si="147">IFERROR(IF(OR(AND(AF66="Muy Baja",AH66="Leve"),AND(AF66="Muy Baja",AH66="Menor"),AND(AF66="Baja",AH66="Leve")),"Bajo",IF(OR(AND(AF66="Muy baja",AH66="Moderado"),AND(AF66="Baja",AH66="Menor"),AND(AF66="Baja",AH66="Moderado"),AND(AF66="Media",AH66="Leve"),AND(AF66="Media",AH66="Menor"),AND(AF66="Media",AH66="Moderado"),AND(AF66="Alta",AH66="Leve"),AND(AF66="Alta",AH66="Menor")),"Moderado",IF(OR(AND(AF66="Muy Baja",AH66="Mayor"),AND(AF66="Baja",AH66="Mayor"),AND(AF66="Media",AH66="Mayor"),AND(AF66="Alta",AH66="Moderado"),AND(AF66="Alta",AH66="Mayor"),AND(AF66="Muy Alta",AH66="Leve"),AND(AF66="Muy Alta",AH66="Menor"),AND(AF66="Muy Alta",AH66="Moderado"),AND(AF66="Muy Alta",AH66="Mayor")),"Alto",IF(OR(AND(AF66="Muy Baja",AH66="Catastrófico"),AND(AF66="Baja",AH66="Catastrófico"),AND(AF66="Media",AH66="Catastrófico"),AND(AF66="Alta",AH66="Catastrófico"),AND(AF66="Muy Alta",AH66="Catastrófico")),"Extremo","")))),"")</f>
        <v>Moderado</v>
      </c>
      <c r="AK66" s="94" t="s">
        <v>124</v>
      </c>
      <c r="AL66" s="95" t="s">
        <v>524</v>
      </c>
      <c r="AM66" s="95" t="s">
        <v>158</v>
      </c>
      <c r="AN66" s="95" t="s">
        <v>158</v>
      </c>
      <c r="AO66" s="95" t="s">
        <v>158</v>
      </c>
      <c r="AP66" s="95" t="s">
        <v>158</v>
      </c>
      <c r="AQ66" s="95" t="s">
        <v>158</v>
      </c>
      <c r="AR66" s="95" t="s">
        <v>158</v>
      </c>
    </row>
    <row r="67" spans="1:44" ht="122.25" customHeight="1">
      <c r="A67" s="315" t="s">
        <v>525</v>
      </c>
      <c r="B67" s="315" t="s">
        <v>334</v>
      </c>
      <c r="C67" s="315" t="s">
        <v>335</v>
      </c>
      <c r="D67" s="315" t="s">
        <v>110</v>
      </c>
      <c r="E67" s="315" t="s">
        <v>111</v>
      </c>
      <c r="F67" s="315" t="s">
        <v>526</v>
      </c>
      <c r="G67" s="315" t="s">
        <v>527</v>
      </c>
      <c r="H67" s="315" t="s">
        <v>528</v>
      </c>
      <c r="I67" s="317" t="s">
        <v>115</v>
      </c>
      <c r="J67" s="317" t="s">
        <v>115</v>
      </c>
      <c r="K67" s="317" t="s">
        <v>115</v>
      </c>
      <c r="L67" s="317" t="s">
        <v>115</v>
      </c>
      <c r="M67" s="280" t="s">
        <v>116</v>
      </c>
      <c r="N67" s="275">
        <v>1</v>
      </c>
      <c r="O67" s="298" t="str">
        <f t="shared" si="107"/>
        <v>Muy Baja</v>
      </c>
      <c r="P67" s="292">
        <f t="shared" si="108"/>
        <v>0.2</v>
      </c>
      <c r="Q67" s="313" t="s">
        <v>117</v>
      </c>
      <c r="R67" s="292" t="str">
        <f>IF(NOT(ISERROR(MATCH(Q67,'Tabla Impacto'!$B$221:$B$223,0))),'Tabla Impacto'!$F$223&amp;"Por favor no seleccionar los criterios de impacto(Afectación Económica o presupuestal y Pérdida Reputacional)",Q67)</f>
        <v xml:space="preserve">     El riesgo afecta la imagen de la entidad con algunos usuarios de relevancia frente al logro de los objetivos</v>
      </c>
      <c r="S67" s="298" t="str">
        <f>IF(OR(R67='Tabla Impacto'!$C$11,R67='Tabla Impacto'!$D$11),"Leve",IF(OR(R67='Tabla Impacto'!$C$12,R67='Tabla Impacto'!$D$12),"Menor",IF(OR(R67='Tabla Impacto'!$C$13,R67='Tabla Impacto'!$D$13),"Moderado",IF(OR(R67='Tabla Impacto'!$C$14,R67='Tabla Impacto'!$D$14),"Mayor",IF(OR(R67='Tabla Impacto'!$C$15,R67='Tabla Impacto'!$D$15),"Catastrófico","")))))</f>
        <v>Moderado</v>
      </c>
      <c r="T67" s="292">
        <f t="shared" si="109"/>
        <v>0.6</v>
      </c>
      <c r="U67" s="294" t="str">
        <f t="shared" si="110"/>
        <v>Moderado</v>
      </c>
      <c r="V67" s="376">
        <v>1</v>
      </c>
      <c r="W67" s="376" t="s">
        <v>529</v>
      </c>
      <c r="X67" s="359" t="str">
        <f t="shared" ref="X67" si="148">IF(OR(Y67="Preventivo",Y67="Detectivo"),"Probabilidad",IF(Y67="Correctivo","Impacto",""))</f>
        <v>Probabilidad</v>
      </c>
      <c r="Y67" s="268" t="s">
        <v>119</v>
      </c>
      <c r="Z67" s="268" t="s">
        <v>120</v>
      </c>
      <c r="AA67" s="284" t="str">
        <f t="shared" ref="AA67" si="149">IF(AND(Y67="Preventivo",Z67="Automático"),"50%",IF(AND(Y67="Preventivo",Z67="Manual"),"40%",IF(AND(Y67="Detectivo",Z67="Automático"),"40%",IF(AND(Y67="Detectivo",Z67="Manual"),"30%",IF(AND(Y67="Correctivo",Z67="Automático"),"35%",IF(AND(Y67="Correctivo",Z67="Manual"),"25%",""))))))</f>
        <v>40%</v>
      </c>
      <c r="AB67" s="268" t="s">
        <v>121</v>
      </c>
      <c r="AC67" s="286" t="s">
        <v>122</v>
      </c>
      <c r="AD67" s="268" t="s">
        <v>123</v>
      </c>
      <c r="AE67" s="288">
        <f t="shared" ref="AE67" si="150">IFERROR(IF(X67="Probabilidad",(P67-(+P67*AA67)),IF(X67="Impacto",P67,"")),"")</f>
        <v>0.12</v>
      </c>
      <c r="AF67" s="290" t="str">
        <f t="shared" ref="AF67" si="151">IFERROR(IF(AE67="","",IF(AE67&lt;=0.2,"Muy Baja",IF(AE67&lt;=0.4,"Baja",IF(AE67&lt;=0.6,"Media",IF(AE67&lt;=0.8,"Alta","Muy Alta"))))),"")</f>
        <v>Muy Baja</v>
      </c>
      <c r="AG67" s="284">
        <f t="shared" ref="AG67" si="152">+AE67</f>
        <v>0.12</v>
      </c>
      <c r="AH67" s="290" t="str">
        <f t="shared" ref="AH67" si="153">IFERROR(IF(AI67="","",IF(AI67&lt;=0.2,"Leve",IF(AI67&lt;=0.4,"Menor",IF(AI67&lt;=0.6,"Moderado",IF(AI67&lt;=0.8,"Mayor","Catastrófico"))))),"")</f>
        <v>Moderado</v>
      </c>
      <c r="AI67" s="284">
        <f t="shared" ref="AI67" si="154">IFERROR(IF(X67="Impacto",(T67-(+T67*AA67)),IF(X67="Probabilidad",T67,"")),"")</f>
        <v>0.6</v>
      </c>
      <c r="AJ67" s="369" t="str">
        <f t="shared" ref="AJ67" si="155">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Moderado</v>
      </c>
      <c r="AK67" s="282" t="s">
        <v>124</v>
      </c>
      <c r="AL67" s="95" t="s">
        <v>530</v>
      </c>
      <c r="AM67" s="95" t="s">
        <v>531</v>
      </c>
      <c r="AN67" s="106" t="s">
        <v>532</v>
      </c>
      <c r="AO67" s="106" t="s">
        <v>533</v>
      </c>
      <c r="AP67" s="106" t="s">
        <v>534</v>
      </c>
      <c r="AQ67" s="96" t="s">
        <v>130</v>
      </c>
      <c r="AR67" s="95" t="s">
        <v>535</v>
      </c>
    </row>
    <row r="68" spans="1:44" ht="227.25" customHeight="1">
      <c r="A68" s="316"/>
      <c r="B68" s="316"/>
      <c r="C68" s="316"/>
      <c r="D68" s="316"/>
      <c r="E68" s="316"/>
      <c r="F68" s="316"/>
      <c r="G68" s="316"/>
      <c r="H68" s="316"/>
      <c r="I68" s="273"/>
      <c r="J68" s="273"/>
      <c r="K68" s="273"/>
      <c r="L68" s="273"/>
      <c r="M68" s="278"/>
      <c r="N68" s="318"/>
      <c r="O68" s="300"/>
      <c r="P68" s="293"/>
      <c r="Q68" s="319"/>
      <c r="R68" s="293"/>
      <c r="S68" s="300"/>
      <c r="T68" s="293"/>
      <c r="U68" s="295"/>
      <c r="V68" s="377"/>
      <c r="W68" s="377"/>
      <c r="X68" s="361"/>
      <c r="Y68" s="269"/>
      <c r="Z68" s="269"/>
      <c r="AA68" s="285"/>
      <c r="AB68" s="269"/>
      <c r="AC68" s="287"/>
      <c r="AD68" s="269"/>
      <c r="AE68" s="289"/>
      <c r="AF68" s="291"/>
      <c r="AG68" s="285"/>
      <c r="AH68" s="291"/>
      <c r="AI68" s="285"/>
      <c r="AJ68" s="370"/>
      <c r="AK68" s="283"/>
      <c r="AL68" s="95" t="s">
        <v>536</v>
      </c>
      <c r="AM68" s="95" t="s">
        <v>531</v>
      </c>
      <c r="AN68" s="106" t="s">
        <v>537</v>
      </c>
      <c r="AO68" s="106" t="s">
        <v>538</v>
      </c>
      <c r="AP68" s="106" t="s">
        <v>539</v>
      </c>
      <c r="AQ68" s="96" t="s">
        <v>130</v>
      </c>
      <c r="AR68" s="95" t="s">
        <v>540</v>
      </c>
    </row>
    <row r="69" spans="1:44" ht="251.25" customHeight="1">
      <c r="A69" s="95" t="s">
        <v>541</v>
      </c>
      <c r="B69" s="95" t="s">
        <v>108</v>
      </c>
      <c r="C69" s="86" t="s">
        <v>109</v>
      </c>
      <c r="D69" s="86" t="s">
        <v>110</v>
      </c>
      <c r="E69" s="111" t="s">
        <v>111</v>
      </c>
      <c r="F69" s="95" t="s">
        <v>542</v>
      </c>
      <c r="G69" s="95" t="s">
        <v>543</v>
      </c>
      <c r="H69" s="95" t="s">
        <v>544</v>
      </c>
      <c r="I69" s="103" t="s">
        <v>115</v>
      </c>
      <c r="J69" s="103" t="s">
        <v>115</v>
      </c>
      <c r="K69" s="103" t="s">
        <v>115</v>
      </c>
      <c r="L69" s="103" t="s">
        <v>115</v>
      </c>
      <c r="M69" s="115" t="s">
        <v>116</v>
      </c>
      <c r="N69" s="120">
        <v>15</v>
      </c>
      <c r="O69" s="118" t="str">
        <f>IF(N69&lt;=0,"",IF(N69&lt;=2,"Muy Baja",IF(N69&lt;=24,"Baja",IF(N69&lt;=500,"Media",IF(N69&lt;=5000,"Alta","Muy Alta")))))</f>
        <v>Baja</v>
      </c>
      <c r="P69" s="117">
        <f>IF(O69="","",IF(O69="Muy Baja",0.2,IF(O69="Baja",0.4,IF(O69="Media",0.6,IF(O69="Alta",0.8,IF(O69="Muy Alta",1,))))))</f>
        <v>0.4</v>
      </c>
      <c r="Q69" s="113" t="s">
        <v>228</v>
      </c>
      <c r="R69" s="109" t="str">
        <f>IF(NOT(ISERROR(MATCH(Q69,'Tabla Impacto'!$B$221:$B$223,0))),'Tabla Impacto'!$F$223&amp;"Por favor no seleccionar los criterios de impacto(Afectación Económica o presupuestal y Pérdida Reputacional)",Q69)</f>
        <v xml:space="preserve">     El riesgo afecta la imagen de la entidad internamente, de conocimiento general, nivel interno, de junta dircetiva y accionistas y/o de provedores</v>
      </c>
      <c r="S69" s="118" t="str">
        <f>IF(OR(R69='Tabla Impacto'!$C$11,R69='Tabla Impacto'!$D$11),"Leve",IF(OR(R69='Tabla Impacto'!$C$12,R69='Tabla Impacto'!$D$12),"Menor",IF(OR(R69='Tabla Impacto'!$C$13,R69='Tabla Impacto'!$D$13),"Moderado",IF(OR(R69='Tabla Impacto'!$C$14,R69='Tabla Impacto'!$D$14),"Mayor",IF(OR(R69='Tabla Impacto'!$C$15,R69='Tabla Impacto'!$D$15),"Catastrófico","")))))</f>
        <v>Menor</v>
      </c>
      <c r="T69" s="117">
        <f>IF(S69="","",IF(S69="Leve",0.2,IF(S69="Menor",0.4,IF(S69="Moderado",0.6,IF(S69="Mayor",0.8,IF(S69="Catastrófico",1,))))))</f>
        <v>0.4</v>
      </c>
      <c r="U69" s="119" t="str">
        <f>IF(OR(AND(O69="Muy Baja",S69="Leve"),AND(O69="Muy Baja",S69="Menor"),AND(O69="Baja",S69="Leve")),"Bajo",IF(OR(AND(O69="Muy baja",S69="Moderado"),AND(O69="Baja",S69="Menor"),AND(O69="Baja",S69="Moderado"),AND(O69="Media",S69="Leve"),AND(O69="Media",S69="Menor"),AND(O69="Media",S69="Moderado"),AND(O69="Alta",S69="Leve"),AND(O69="Alta",S69="Menor")),"Moderado",IF(OR(AND(O69="Muy Baja",S69="Mayor"),AND(O69="Baja",S69="Mayor"),AND(O69="Media",S69="Mayor"),AND(O69="Alta",S69="Moderado"),AND(O69="Alta",S69="Mayor"),AND(O69="Muy Alta",S69="Leve"),AND(O69="Muy Alta",S69="Menor"),AND(O69="Muy Alta",S69="Moderado"),AND(O69="Muy Alta",S69="Mayor")),"Alto",IF(OR(AND(O69="Muy Baja",S69="Catastrófico"),AND(O69="Baja",S69="Catastrófico"),AND(O69="Media",S69="Catastrófico"),AND(O69="Alta",S69="Catastrófico"),AND(O69="Muy Alta",S69="Catastrófico")),"Extremo",""))))</f>
        <v>Moderado</v>
      </c>
      <c r="V69" s="87">
        <v>1</v>
      </c>
      <c r="W69" s="95" t="s">
        <v>545</v>
      </c>
      <c r="X69" s="190" t="str">
        <f t="shared" ref="X69" si="156">IF(OR(Y69="Preventivo",Y69="Detectivo"),"Probabilidad",IF(Y69="Correctivo","Impacto",""))</f>
        <v>Probabilidad</v>
      </c>
      <c r="Y69" s="94" t="s">
        <v>119</v>
      </c>
      <c r="Z69" s="94" t="s">
        <v>120</v>
      </c>
      <c r="AA69" s="187" t="str">
        <f t="shared" ref="AA69" si="157">IF(AND(Y69="Preventivo",Z69="Automático"),"50%",IF(AND(Y69="Preventivo",Z69="Manual"),"40%",IF(AND(Y69="Detectivo",Z69="Automático"),"40%",IF(AND(Y69="Detectivo",Z69="Manual"),"30%",IF(AND(Y69="Correctivo",Z69="Automático"),"35%",IF(AND(Y69="Correctivo",Z69="Manual"),"25%",""))))))</f>
        <v>40%</v>
      </c>
      <c r="AB69" s="94" t="s">
        <v>121</v>
      </c>
      <c r="AC69" s="189" t="s">
        <v>122</v>
      </c>
      <c r="AD69" s="94" t="s">
        <v>123</v>
      </c>
      <c r="AE69" s="191">
        <f t="shared" ref="AE69" si="158">IFERROR(IF(X69="Probabilidad",(P69-(+P69*AA69)),IF(X69="Impacto",P69,"")),"")</f>
        <v>0.24</v>
      </c>
      <c r="AF69" s="188" t="str">
        <f t="shared" ref="AF69" si="159">IFERROR(IF(AE69="","",IF(AE69&lt;=0.2,"Muy Baja",IF(AE69&lt;=0.4,"Baja",IF(AE69&lt;=0.6,"Media",IF(AE69&lt;=0.8,"Alta","Muy Alta"))))),"")</f>
        <v>Baja</v>
      </c>
      <c r="AG69" s="187">
        <f t="shared" ref="AG69" si="160">+AE69</f>
        <v>0.24</v>
      </c>
      <c r="AH69" s="188" t="str">
        <f t="shared" ref="AH69" si="161">IFERROR(IF(AI69="","",IF(AI69&lt;=0.2,"Leve",IF(AI69&lt;=0.4,"Menor",IF(AI69&lt;=0.6,"Moderado",IF(AI69&lt;=0.8,"Mayor","Catastrófico"))))),"")</f>
        <v>Menor</v>
      </c>
      <c r="AI69" s="187">
        <f t="shared" ref="AI69" si="162">IFERROR(IF(X69="Impacto",(T69-(+T69*AA69)),IF(X69="Probabilidad",T69,"")),"")</f>
        <v>0.4</v>
      </c>
      <c r="AJ69" s="186" t="str">
        <f t="shared" ref="AJ69" si="163">IFERROR(IF(OR(AND(AF69="Muy Baja",AH69="Leve"),AND(AF69="Muy Baja",AH69="Menor"),AND(AF69="Baja",AH69="Leve")),"Bajo",IF(OR(AND(AF69="Muy baja",AH69="Moderado"),AND(AF69="Baja",AH69="Menor"),AND(AF69="Baja",AH69="Moderado"),AND(AF69="Media",AH69="Leve"),AND(AF69="Media",AH69="Menor"),AND(AF69="Media",AH69="Moderado"),AND(AF69="Alta",AH69="Leve"),AND(AF69="Alta",AH69="Menor")),"Moderado",IF(OR(AND(AF69="Muy Baja",AH69="Mayor"),AND(AF69="Baja",AH69="Mayor"),AND(AF69="Media",AH69="Mayor"),AND(AF69="Alta",AH69="Moderado"),AND(AF69="Alta",AH69="Mayor"),AND(AF69="Muy Alta",AH69="Leve"),AND(AF69="Muy Alta",AH69="Menor"),AND(AF69="Muy Alta",AH69="Moderado"),AND(AF69="Muy Alta",AH69="Mayor")),"Alto",IF(OR(AND(AF69="Muy Baja",AH69="Catastrófico"),AND(AF69="Baja",AH69="Catastrófico"),AND(AF69="Media",AH69="Catastrófico"),AND(AF69="Alta",AH69="Catastrófico"),AND(AF69="Muy Alta",AH69="Catastrófico")),"Extremo","")))),"")</f>
        <v>Moderado</v>
      </c>
      <c r="AK69" s="185" t="s">
        <v>124</v>
      </c>
      <c r="AL69" s="95" t="s">
        <v>546</v>
      </c>
      <c r="AM69" s="95" t="s">
        <v>547</v>
      </c>
      <c r="AN69" s="106" t="s">
        <v>270</v>
      </c>
      <c r="AO69" s="95" t="s">
        <v>548</v>
      </c>
      <c r="AP69" s="95" t="s">
        <v>549</v>
      </c>
      <c r="AQ69" s="96" t="s">
        <v>130</v>
      </c>
      <c r="AR69" s="95" t="s">
        <v>550</v>
      </c>
    </row>
    <row r="70" spans="1:44" ht="168" customHeight="1">
      <c r="A70" s="95" t="s">
        <v>551</v>
      </c>
      <c r="B70" s="95" t="s">
        <v>334</v>
      </c>
      <c r="C70" s="95" t="s">
        <v>335</v>
      </c>
      <c r="D70" s="86" t="s">
        <v>110</v>
      </c>
      <c r="E70" s="111" t="s">
        <v>111</v>
      </c>
      <c r="F70" s="95" t="s">
        <v>552</v>
      </c>
      <c r="G70" s="95" t="s">
        <v>553</v>
      </c>
      <c r="H70" s="95" t="s">
        <v>554</v>
      </c>
      <c r="I70" s="103" t="s">
        <v>115</v>
      </c>
      <c r="J70" s="103" t="s">
        <v>115</v>
      </c>
      <c r="K70" s="103" t="s">
        <v>115</v>
      </c>
      <c r="L70" s="103" t="s">
        <v>115</v>
      </c>
      <c r="M70" s="115" t="s">
        <v>116</v>
      </c>
      <c r="N70" s="120">
        <v>16</v>
      </c>
      <c r="O70" s="118" t="str">
        <f>IF(N70&lt;=0,"",IF(N70&lt;=2,"Muy Baja",IF(N70&lt;=24,"Baja",IF(N70&lt;=500,"Media",IF(N70&lt;=5000,"Alta","Muy Alta")))))</f>
        <v>Baja</v>
      </c>
      <c r="P70" s="117">
        <f>IF(O70="","",IF(O70="Muy Baja",0.2,IF(O70="Baja",0.4,IF(O70="Media",0.6,IF(O70="Alta",0.8,IF(O70="Muy Alta",1,))))))</f>
        <v>0.4</v>
      </c>
      <c r="Q70" s="113" t="s">
        <v>228</v>
      </c>
      <c r="R70" s="109" t="str">
        <f>IF(NOT(ISERROR(MATCH(Q70,'Tabla Impacto'!$B$221:$B$223,0))),'Tabla Impacto'!$F$223&amp;"Por favor no seleccionar los criterios de impacto(Afectación Económica o presupuestal y Pérdida Reputacional)",Q70)</f>
        <v xml:space="preserve">     El riesgo afecta la imagen de la entidad internamente, de conocimiento general, nivel interno, de junta dircetiva y accionistas y/o de provedores</v>
      </c>
      <c r="S70" s="118" t="str">
        <f>IF(OR(R70='Tabla Impacto'!$C$11,R70='Tabla Impacto'!$D$11),"Leve",IF(OR(R70='Tabla Impacto'!$C$12,R70='Tabla Impacto'!$D$12),"Menor",IF(OR(R70='Tabla Impacto'!$C$13,R70='Tabla Impacto'!$D$13),"Moderado",IF(OR(R70='Tabla Impacto'!$C$14,R70='Tabla Impacto'!$D$14),"Mayor",IF(OR(R70='Tabla Impacto'!$C$15,R70='Tabla Impacto'!$D$15),"Catastrófico","")))))</f>
        <v>Menor</v>
      </c>
      <c r="T70" s="117">
        <f>IF(S70="","",IF(S70="Leve",0.2,IF(S70="Menor",0.4,IF(S70="Moderado",0.6,IF(S70="Mayor",0.8,IF(S70="Catastrófico",1,))))))</f>
        <v>0.4</v>
      </c>
      <c r="U70" s="119" t="str">
        <f>IF(OR(AND(O70="Muy Baja",S70="Leve"),AND(O70="Muy Baja",S70="Menor"),AND(O70="Baja",S70="Leve")),"Bajo",IF(OR(AND(O70="Muy baja",S70="Moderado"),AND(O70="Baja",S70="Menor"),AND(O70="Baja",S70="Moderado"),AND(O70="Media",S70="Leve"),AND(O70="Media",S70="Menor"),AND(O70="Media",S70="Moderado"),AND(O70="Alta",S70="Leve"),AND(O70="Alta",S70="Menor")),"Moderado",IF(OR(AND(O70="Muy Baja",S70="Mayor"),AND(O70="Baja",S70="Mayor"),AND(O70="Media",S70="Mayor"),AND(O70="Alta",S70="Moderado"),AND(O70="Alta",S70="Mayor"),AND(O70="Muy Alta",S70="Leve"),AND(O70="Muy Alta",S70="Menor"),AND(O70="Muy Alta",S70="Moderado"),AND(O70="Muy Alta",S70="Mayor")),"Alto",IF(OR(AND(O70="Muy Baja",S70="Catastrófico"),AND(O70="Baja",S70="Catastrófico"),AND(O70="Media",S70="Catastrófico"),AND(O70="Alta",S70="Catastrófico"),AND(O70="Muy Alta",S70="Catastrófico")),"Extremo",""))))</f>
        <v>Moderado</v>
      </c>
      <c r="V70" s="87">
        <v>1</v>
      </c>
      <c r="W70" s="95" t="s">
        <v>555</v>
      </c>
      <c r="X70" s="190" t="str">
        <f t="shared" ref="X70" si="164">IF(OR(Y70="Preventivo",Y70="Detectivo"),"Probabilidad",IF(Y70="Correctivo","Impacto",""))</f>
        <v>Probabilidad</v>
      </c>
      <c r="Y70" s="94" t="s">
        <v>119</v>
      </c>
      <c r="Z70" s="94" t="s">
        <v>120</v>
      </c>
      <c r="AA70" s="187" t="str">
        <f t="shared" ref="AA70" si="165">IF(AND(Y70="Preventivo",Z70="Automático"),"50%",IF(AND(Y70="Preventivo",Z70="Manual"),"40%",IF(AND(Y70="Detectivo",Z70="Automático"),"40%",IF(AND(Y70="Detectivo",Z70="Manual"),"30%",IF(AND(Y70="Correctivo",Z70="Automático"),"35%",IF(AND(Y70="Correctivo",Z70="Manual"),"25%",""))))))</f>
        <v>40%</v>
      </c>
      <c r="AB70" s="94" t="s">
        <v>121</v>
      </c>
      <c r="AC70" s="189" t="s">
        <v>122</v>
      </c>
      <c r="AD70" s="94" t="s">
        <v>123</v>
      </c>
      <c r="AE70" s="191">
        <f t="shared" ref="AE70" si="166">IFERROR(IF(X70="Probabilidad",(P70-(+P70*AA70)),IF(X70="Impacto",P70,"")),"")</f>
        <v>0.24</v>
      </c>
      <c r="AF70" s="188" t="str">
        <f t="shared" ref="AF70" si="167">IFERROR(IF(AE70="","",IF(AE70&lt;=0.2,"Muy Baja",IF(AE70&lt;=0.4,"Baja",IF(AE70&lt;=0.6,"Media",IF(AE70&lt;=0.8,"Alta","Muy Alta"))))),"")</f>
        <v>Baja</v>
      </c>
      <c r="AG70" s="187">
        <f t="shared" ref="AG70" si="168">+AE70</f>
        <v>0.24</v>
      </c>
      <c r="AH70" s="188" t="str">
        <f t="shared" ref="AH70" si="169">IFERROR(IF(AI70="","",IF(AI70&lt;=0.2,"Leve",IF(AI70&lt;=0.4,"Menor",IF(AI70&lt;=0.6,"Moderado",IF(AI70&lt;=0.8,"Mayor","Catastrófico"))))),"")</f>
        <v>Menor</v>
      </c>
      <c r="AI70" s="187">
        <f t="shared" ref="AI70" si="170">IFERROR(IF(X70="Impacto",(T70-(+T70*AA70)),IF(X70="Probabilidad",T70,"")),"")</f>
        <v>0.4</v>
      </c>
      <c r="AJ70" s="186" t="str">
        <f t="shared" ref="AJ70" si="171">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Moderado</v>
      </c>
      <c r="AK70" s="185" t="s">
        <v>124</v>
      </c>
      <c r="AL70" s="95" t="s">
        <v>556</v>
      </c>
      <c r="AM70" s="95" t="s">
        <v>557</v>
      </c>
      <c r="AN70" s="95" t="s">
        <v>270</v>
      </c>
      <c r="AO70" s="106" t="s">
        <v>558</v>
      </c>
      <c r="AP70" s="95" t="s">
        <v>559</v>
      </c>
      <c r="AQ70" s="96" t="s">
        <v>145</v>
      </c>
      <c r="AR70" s="95" t="s">
        <v>560</v>
      </c>
    </row>
    <row r="71" spans="1:44" ht="167.25" customHeight="1">
      <c r="A71" s="95" t="s">
        <v>561</v>
      </c>
      <c r="B71" s="95" t="s">
        <v>334</v>
      </c>
      <c r="C71" s="95" t="s">
        <v>335</v>
      </c>
      <c r="D71" s="86" t="s">
        <v>110</v>
      </c>
      <c r="E71" s="111" t="s">
        <v>111</v>
      </c>
      <c r="F71" s="95" t="s">
        <v>562</v>
      </c>
      <c r="G71" s="95" t="s">
        <v>563</v>
      </c>
      <c r="H71" s="95" t="s">
        <v>564</v>
      </c>
      <c r="I71" s="95" t="s">
        <v>158</v>
      </c>
      <c r="J71" s="95" t="s">
        <v>158</v>
      </c>
      <c r="K71" s="95" t="s">
        <v>158</v>
      </c>
      <c r="L71" s="95" t="s">
        <v>158</v>
      </c>
      <c r="M71" s="115" t="s">
        <v>116</v>
      </c>
      <c r="N71" s="120">
        <v>2</v>
      </c>
      <c r="O71" s="201" t="str">
        <f>IF(N71&lt;=0,"",IF(N71&lt;=2,"Muy Baja",IF(N71&lt;=24,"Baja",IF(N71&lt;=500,"Media",IF(N71&lt;=5000,"Alta","Muy Alta")))))</f>
        <v>Muy Baja</v>
      </c>
      <c r="P71" s="117">
        <f>IF(O71="","",IF(O71="Muy Baja",0.2,IF(O71="Baja",0.4,IF(O71="Media",0.6,IF(O71="Alta",0.8,IF(O71="Muy Alta",1,))))))</f>
        <v>0.2</v>
      </c>
      <c r="Q71" s="113" t="s">
        <v>117</v>
      </c>
      <c r="R71" s="109" t="str">
        <f>IF(NOT(ISERROR(MATCH(Q71,'Tabla Impacto'!$B$221:$B$223,0))),'Tabla Impacto'!$F$223&amp;"Por favor no seleccionar los criterios de impacto(Afectación Económica o presupuestal y Pérdida Reputacional)",Q71)</f>
        <v xml:space="preserve">     El riesgo afecta la imagen de la entidad con algunos usuarios de relevancia frente al logro de los objetivos</v>
      </c>
      <c r="S71" s="201" t="str">
        <f>IF(OR(R71='Tabla Impacto'!$C$11,R71='Tabla Impacto'!$D$11),"Leve",IF(OR(R71='Tabla Impacto'!$C$12,R71='Tabla Impacto'!$D$12),"Menor",IF(OR(R71='Tabla Impacto'!$C$13,R71='Tabla Impacto'!$D$13),"Moderado",IF(OR(R71='Tabla Impacto'!$C$14,R71='Tabla Impacto'!$D$14),"Mayor",IF(OR(R71='Tabla Impacto'!$C$15,R71='Tabla Impacto'!$D$15),"Catastrófico","")))))</f>
        <v>Moderado</v>
      </c>
      <c r="T71" s="202">
        <f>IF(S71="","",IF(S71="Leve",0.2,IF(S71="Menor",0.4,IF(S71="Moderado",0.6,IF(S71="Mayor",0.8,IF(S71="Catastrófico",1,))))))</f>
        <v>0.6</v>
      </c>
      <c r="U71" s="203" t="str">
        <f>IF(OR(AND(O71="Muy Baja",S71="Leve"),AND(O71="Muy Baja",S71="Menor"),AND(O71="Baja",S71="Leve")),"Bajo",IF(OR(AND(O71="Muy baja",S71="Moderado"),AND(O71="Baja",S71="Menor"),AND(O71="Baja",S71="Moderado"),AND(O71="Media",S71="Leve"),AND(O71="Media",S71="Menor"),AND(O71="Media",S71="Moderado"),AND(O71="Alta",S71="Leve"),AND(O71="Alta",S71="Menor")),"Moderado",IF(OR(AND(O71="Muy Baja",S71="Mayor"),AND(O71="Baja",S71="Mayor"),AND(O71="Media",S71="Mayor"),AND(O71="Alta",S71="Moderado"),AND(O71="Alta",S71="Mayor"),AND(O71="Muy Alta",S71="Leve"),AND(O71="Muy Alta",S71="Menor"),AND(O71="Muy Alta",S71="Moderado"),AND(O71="Muy Alta",S71="Mayor")),"Alto",IF(OR(AND(O71="Muy Baja",S71="Catastrófico"),AND(O71="Baja",S71="Catastrófico"),AND(O71="Media",S71="Catastrófico"),AND(O71="Alta",S71="Catastrófico"),AND(O71="Muy Alta",S71="Catastrófico")),"Extremo",""))))</f>
        <v>Moderado</v>
      </c>
      <c r="V71" s="115">
        <v>1</v>
      </c>
      <c r="W71" s="204" t="s">
        <v>565</v>
      </c>
      <c r="X71" s="206" t="str">
        <f t="shared" ref="X71" si="172">IF(OR(Y71="Preventivo",Y71="Detectivo"),"Probabilidad",IF(Y71="Correctivo","Impacto",""))</f>
        <v>Probabilidad</v>
      </c>
      <c r="Y71" s="207" t="s">
        <v>119</v>
      </c>
      <c r="Z71" s="207" t="s">
        <v>120</v>
      </c>
      <c r="AA71" s="208" t="str">
        <f t="shared" ref="AA71" si="173">IF(AND(Y71="Preventivo",Z71="Automático"),"50%",IF(AND(Y71="Preventivo",Z71="Manual"),"40%",IF(AND(Y71="Detectivo",Z71="Automático"),"40%",IF(AND(Y71="Detectivo",Z71="Manual"),"30%",IF(AND(Y71="Correctivo",Z71="Automático"),"35%",IF(AND(Y71="Correctivo",Z71="Manual"),"25%",""))))))</f>
        <v>40%</v>
      </c>
      <c r="AB71" s="207" t="s">
        <v>121</v>
      </c>
      <c r="AC71" s="209" t="s">
        <v>122</v>
      </c>
      <c r="AD71" s="207" t="s">
        <v>123</v>
      </c>
      <c r="AE71" s="210">
        <f t="shared" ref="AE71" si="174">IFERROR(IF(X71="Probabilidad",(P71-(+P71*AA71)),IF(X71="Impacto",P71,"")),"")</f>
        <v>0.12</v>
      </c>
      <c r="AF71" s="211" t="str">
        <f t="shared" ref="AF71" si="175">IFERROR(IF(AE71="","",IF(AE71&lt;=0.2,"Muy Baja",IF(AE71&lt;=0.4,"Baja",IF(AE71&lt;=0.6,"Media",IF(AE71&lt;=0.8,"Alta","Muy Alta"))))),"")</f>
        <v>Muy Baja</v>
      </c>
      <c r="AG71" s="208">
        <f t="shared" ref="AG71" si="176">+AE71</f>
        <v>0.12</v>
      </c>
      <c r="AH71" s="211" t="str">
        <f t="shared" ref="AH71" si="177">IFERROR(IF(AI71="","",IF(AI71&lt;=0.2,"Leve",IF(AI71&lt;=0.4,"Menor",IF(AI71&lt;=0.6,"Moderado",IF(AI71&lt;=0.8,"Mayor","Catastrófico"))))),"")</f>
        <v>Moderado</v>
      </c>
      <c r="AI71" s="208">
        <f t="shared" ref="AI71" si="178">IFERROR(IF(X71="Impacto",(T71-(+T71*AA71)),IF(X71="Probabilidad",T71,"")),"")</f>
        <v>0.6</v>
      </c>
      <c r="AJ71" s="212" t="str">
        <f t="shared" ref="AJ71" si="17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Moderado</v>
      </c>
      <c r="AK71" s="213" t="s">
        <v>124</v>
      </c>
      <c r="AL71" s="205" t="s">
        <v>566</v>
      </c>
      <c r="AM71" s="95" t="s">
        <v>567</v>
      </c>
      <c r="AN71" s="106" t="s">
        <v>568</v>
      </c>
      <c r="AO71" s="106" t="s">
        <v>569</v>
      </c>
      <c r="AP71" s="95" t="s">
        <v>570</v>
      </c>
      <c r="AQ71" s="96" t="s">
        <v>130</v>
      </c>
      <c r="AR71" s="95" t="s">
        <v>571</v>
      </c>
    </row>
    <row r="72" spans="1:44" ht="102.75" customHeight="1">
      <c r="A72" s="95" t="s">
        <v>572</v>
      </c>
      <c r="B72" s="95" t="s">
        <v>573</v>
      </c>
      <c r="C72" s="227" t="s">
        <v>190</v>
      </c>
      <c r="D72" s="227" t="s">
        <v>110</v>
      </c>
      <c r="E72" s="228" t="s">
        <v>111</v>
      </c>
      <c r="F72" s="227" t="s">
        <v>574</v>
      </c>
      <c r="G72" s="227" t="s">
        <v>575</v>
      </c>
      <c r="H72" s="95" t="s">
        <v>576</v>
      </c>
      <c r="I72" s="95" t="s">
        <v>158</v>
      </c>
      <c r="J72" s="95" t="s">
        <v>158</v>
      </c>
      <c r="K72" s="95" t="s">
        <v>158</v>
      </c>
      <c r="L72" s="95" t="s">
        <v>158</v>
      </c>
      <c r="M72" s="95" t="s">
        <v>116</v>
      </c>
      <c r="N72" s="120">
        <v>24</v>
      </c>
      <c r="O72" s="201" t="str">
        <f>IF(N72&lt;=0,"",IF(N72&lt;=2,"Muy Baja",IF(N72&lt;=24,"Baja",IF(N72&lt;=500,"Media",IF(N72&lt;=5000,"Alta","Muy Alta")))))</f>
        <v>Baja</v>
      </c>
      <c r="P72" s="117">
        <f>IF(O72="","",IF(O72="Muy Baja",0.2,IF(O72="Baja",0.4,IF(O72="Media",0.6,IF(O72="Alta",0.8,IF(O72="Muy Alta",1,))))))</f>
        <v>0.4</v>
      </c>
      <c r="Q72" s="113" t="s">
        <v>228</v>
      </c>
      <c r="R72" s="109" t="str">
        <f>IF(NOT(ISERROR(MATCH(Q72,'Tabla Impacto'!$B$221:$B$223,0))),'Tabla Impacto'!$F$223&amp;"Por favor no seleccionar los criterios de impacto(Afectación Económica o presupuestal y Pérdida Reputacional)",Q72)</f>
        <v xml:space="preserve">     El riesgo afecta la imagen de la entidad internamente, de conocimiento general, nivel interno, de junta dircetiva y accionistas y/o de provedores</v>
      </c>
      <c r="S72" s="201" t="str">
        <f>IF(OR(R72='Tabla Impacto'!$C$11,R72='Tabla Impacto'!$D$11),"Leve",IF(OR(R72='Tabla Impacto'!$C$12,R72='Tabla Impacto'!$D$12),"Menor",IF(OR(R72='Tabla Impacto'!$C$13,R72='Tabla Impacto'!$D$13),"Moderado",IF(OR(R72='Tabla Impacto'!$C$14,R72='Tabla Impacto'!$D$14),"Mayor",IF(OR(R72='Tabla Impacto'!$C$15,R72='Tabla Impacto'!$D$15),"Catastrófico","")))))</f>
        <v>Menor</v>
      </c>
      <c r="T72" s="202">
        <f>IF(S72="","",IF(S72="Leve",0.2,IF(S72="Menor",0.4,IF(S72="Moderado",0.6,IF(S72="Mayor",0.8,IF(S72="Catastrófico",1,))))))</f>
        <v>0.4</v>
      </c>
      <c r="U72" s="203" t="str">
        <f>IF(OR(AND(O72="Muy Baja",S72="Leve"),AND(O72="Muy Baja",S72="Menor"),AND(O72="Baja",S72="Leve")),"Bajo",IF(OR(AND(O72="Muy baja",S72="Moderado"),AND(O72="Baja",S72="Menor"),AND(O72="Baja",S72="Moderado"),AND(O72="Media",S72="Leve"),AND(O72="Media",S72="Menor"),AND(O72="Media",S72="Moderado"),AND(O72="Alta",S72="Leve"),AND(O72="Alta",S72="Menor")),"Moderado",IF(OR(AND(O72="Muy Baja",S72="Mayor"),AND(O72="Baja",S72="Mayor"),AND(O72="Media",S72="Mayor"),AND(O72="Alta",S72="Moderado"),AND(O72="Alta",S72="Mayor"),AND(O72="Muy Alta",S72="Leve"),AND(O72="Muy Alta",S72="Menor"),AND(O72="Muy Alta",S72="Moderado"),AND(O72="Muy Alta",S72="Mayor")),"Alto",IF(OR(AND(O72="Muy Baja",S72="Catastrófico"),AND(O72="Baja",S72="Catastrófico"),AND(O72="Media",S72="Catastrófico"),AND(O72="Alta",S72="Catastrófico"),AND(O72="Muy Alta",S72="Catastrófico")),"Extremo",""))))</f>
        <v>Moderado</v>
      </c>
      <c r="V72" s="87">
        <v>1</v>
      </c>
      <c r="W72" s="95" t="s">
        <v>577</v>
      </c>
      <c r="X72" s="88" t="s">
        <v>578</v>
      </c>
      <c r="Y72" s="89" t="s">
        <v>119</v>
      </c>
      <c r="Z72" s="89" t="s">
        <v>120</v>
      </c>
      <c r="AA72" s="90" t="s">
        <v>579</v>
      </c>
      <c r="AB72" s="89" t="s">
        <v>121</v>
      </c>
      <c r="AC72" s="89" t="s">
        <v>122</v>
      </c>
      <c r="AD72" s="89" t="s">
        <v>123</v>
      </c>
      <c r="AE72" s="210">
        <f t="shared" ref="AE72" si="180">IFERROR(IF(X72="Probabilidad",(P72-(+P72*AA72)),IF(X72="Impacto",P72,"")),"")</f>
        <v>0.24</v>
      </c>
      <c r="AF72" s="211" t="str">
        <f t="shared" ref="AF72" si="181">IFERROR(IF(AE72="","",IF(AE72&lt;=0.2,"Muy Baja",IF(AE72&lt;=0.4,"Baja",IF(AE72&lt;=0.6,"Media",IF(AE72&lt;=0.8,"Alta","Muy Alta"))))),"")</f>
        <v>Baja</v>
      </c>
      <c r="AG72" s="208">
        <f t="shared" ref="AG72" si="182">+AE72</f>
        <v>0.24</v>
      </c>
      <c r="AH72" s="211" t="str">
        <f t="shared" ref="AH72" si="183">IFERROR(IF(AI72="","",IF(AI72&lt;=0.2,"Leve",IF(AI72&lt;=0.4,"Menor",IF(AI72&lt;=0.6,"Moderado",IF(AI72&lt;=0.8,"Mayor","Catastrófico"))))),"")</f>
        <v>Menor</v>
      </c>
      <c r="AI72" s="208">
        <f t="shared" ref="AI72" si="184">IFERROR(IF(X72="Impacto",(T72-(+T72*AA72)),IF(X72="Probabilidad",T72,"")),"")</f>
        <v>0.4</v>
      </c>
      <c r="AJ72" s="212" t="str">
        <f t="shared" ref="AJ72" si="185">IFERROR(IF(OR(AND(AF72="Muy Baja",AH72="Leve"),AND(AF72="Muy Baja",AH72="Menor"),AND(AF72="Baja",AH72="Leve")),"Bajo",IF(OR(AND(AF72="Muy baja",AH72="Moderado"),AND(AF72="Baja",AH72="Menor"),AND(AF72="Baja",AH72="Moderado"),AND(AF72="Media",AH72="Leve"),AND(AF72="Media",AH72="Menor"),AND(AF72="Media",AH72="Moderado"),AND(AF72="Alta",AH72="Leve"),AND(AF72="Alta",AH72="Menor")),"Moderado",IF(OR(AND(AF72="Muy Baja",AH72="Mayor"),AND(AF72="Baja",AH72="Mayor"),AND(AF72="Media",AH72="Mayor"),AND(AF72="Alta",AH72="Moderado"),AND(AF72="Alta",AH72="Mayor"),AND(AF72="Muy Alta",AH72="Leve"),AND(AF72="Muy Alta",AH72="Menor"),AND(AF72="Muy Alta",AH72="Moderado"),AND(AF72="Muy Alta",AH72="Mayor")),"Alto",IF(OR(AND(AF72="Muy Baja",AH72="Catastrófico"),AND(AF72="Baja",AH72="Catastrófico"),AND(AF72="Media",AH72="Catastrófico"),AND(AF72="Alta",AH72="Catastrófico"),AND(AF72="Muy Alta",AH72="Catastrófico")),"Extremo","")))),"")</f>
        <v>Moderado</v>
      </c>
      <c r="AK72" s="213" t="s">
        <v>124</v>
      </c>
      <c r="AL72" s="95" t="s">
        <v>580</v>
      </c>
      <c r="AM72" s="95" t="s">
        <v>581</v>
      </c>
      <c r="AN72" s="106" t="s">
        <v>582</v>
      </c>
      <c r="AO72" s="106" t="s">
        <v>583</v>
      </c>
      <c r="AP72" s="95" t="s">
        <v>584</v>
      </c>
      <c r="AQ72" s="96" t="s">
        <v>130</v>
      </c>
      <c r="AR72" s="95" t="s">
        <v>585</v>
      </c>
    </row>
    <row r="73" spans="1:44" ht="144.75" customHeight="1">
      <c r="A73" s="95" t="s">
        <v>586</v>
      </c>
      <c r="B73" s="95" t="s">
        <v>573</v>
      </c>
      <c r="C73" s="227" t="s">
        <v>190</v>
      </c>
      <c r="D73" s="227" t="s">
        <v>110</v>
      </c>
      <c r="E73" s="228" t="s">
        <v>111</v>
      </c>
      <c r="F73" s="227" t="s">
        <v>587</v>
      </c>
      <c r="G73" s="227" t="s">
        <v>588</v>
      </c>
      <c r="H73" s="95" t="s">
        <v>589</v>
      </c>
      <c r="I73" s="95" t="s">
        <v>158</v>
      </c>
      <c r="J73" s="95" t="s">
        <v>158</v>
      </c>
      <c r="K73" s="95" t="s">
        <v>158</v>
      </c>
      <c r="L73" s="95" t="s">
        <v>158</v>
      </c>
      <c r="M73" s="95" t="s">
        <v>116</v>
      </c>
      <c r="N73" s="120">
        <v>12</v>
      </c>
      <c r="O73" s="201" t="str">
        <f>IF(N73&lt;=0,"",IF(N73&lt;=2,"Muy Baja",IF(N73&lt;=24,"Baja",IF(N73&lt;=500,"Media",IF(N73&lt;=5000,"Alta","Muy Alta")))))</f>
        <v>Baja</v>
      </c>
      <c r="P73" s="117">
        <f>IF(O73="","",IF(O73="Muy Baja",0.2,IF(O73="Baja",0.4,IF(O73="Media",0.6,IF(O73="Alta",0.8,IF(O73="Muy Alta",1,))))))</f>
        <v>0.4</v>
      </c>
      <c r="Q73" s="113" t="s">
        <v>228</v>
      </c>
      <c r="R73" s="109" t="str">
        <f>IF(NOT(ISERROR(MATCH(Q73,'Tabla Impacto'!$B$221:$B$223,0))),'Tabla Impacto'!$F$223&amp;"Por favor no seleccionar los criterios de impacto(Afectación Económica o presupuestal y Pérdida Reputacional)",Q73)</f>
        <v xml:space="preserve">     El riesgo afecta la imagen de la entidad internamente, de conocimiento general, nivel interno, de junta dircetiva y accionistas y/o de provedores</v>
      </c>
      <c r="S73" s="201" t="str">
        <f>IF(OR(R73='Tabla Impacto'!$C$11,R73='Tabla Impacto'!$D$11),"Leve",IF(OR(R73='Tabla Impacto'!$C$12,R73='Tabla Impacto'!$D$12),"Menor",IF(OR(R73='Tabla Impacto'!$C$13,R73='Tabla Impacto'!$D$13),"Moderado",IF(OR(R73='Tabla Impacto'!$C$14,R73='Tabla Impacto'!$D$14),"Mayor",IF(OR(R73='Tabla Impacto'!$C$15,R73='Tabla Impacto'!$D$15),"Catastrófico","")))))</f>
        <v>Menor</v>
      </c>
      <c r="T73" s="202">
        <f>IF(S73="","",IF(S73="Leve",0.2,IF(S73="Menor",0.4,IF(S73="Moderado",0.6,IF(S73="Mayor",0.8,IF(S73="Catastrófico",1,))))))</f>
        <v>0.4</v>
      </c>
      <c r="U73" s="203" t="str">
        <f>IF(OR(AND(O73="Muy Baja",S73="Leve"),AND(O73="Muy Baja",S73="Menor"),AND(O73="Baja",S73="Leve")),"Bajo",IF(OR(AND(O73="Muy baja",S73="Moderado"),AND(O73="Baja",S73="Menor"),AND(O73="Baja",S73="Moderado"),AND(O73="Media",S73="Leve"),AND(O73="Media",S73="Menor"),AND(O73="Media",S73="Moderado"),AND(O73="Alta",S73="Leve"),AND(O73="Alta",S73="Menor")),"Moderado",IF(OR(AND(O73="Muy Baja",S73="Mayor"),AND(O73="Baja",S73="Mayor"),AND(O73="Media",S73="Mayor"),AND(O73="Alta",S73="Moderado"),AND(O73="Alta",S73="Mayor"),AND(O73="Muy Alta",S73="Leve"),AND(O73="Muy Alta",S73="Menor"),AND(O73="Muy Alta",S73="Moderado"),AND(O73="Muy Alta",S73="Mayor")),"Alto",IF(OR(AND(O73="Muy Baja",S73="Catastrófico"),AND(O73="Baja",S73="Catastrófico"),AND(O73="Media",S73="Catastrófico"),AND(O73="Alta",S73="Catastrófico"),AND(O73="Muy Alta",S73="Catastrófico")),"Extremo",""))))</f>
        <v>Moderado</v>
      </c>
      <c r="V73" s="87">
        <v>1</v>
      </c>
      <c r="W73" s="95" t="s">
        <v>590</v>
      </c>
      <c r="X73" s="88" t="s">
        <v>578</v>
      </c>
      <c r="Y73" s="89" t="s">
        <v>119</v>
      </c>
      <c r="Z73" s="89" t="s">
        <v>120</v>
      </c>
      <c r="AA73" s="90" t="s">
        <v>579</v>
      </c>
      <c r="AB73" s="89" t="s">
        <v>121</v>
      </c>
      <c r="AC73" s="89" t="s">
        <v>122</v>
      </c>
      <c r="AD73" s="89" t="s">
        <v>123</v>
      </c>
      <c r="AE73" s="210">
        <f t="shared" ref="AE73" si="186">IFERROR(IF(X73="Probabilidad",(P73-(+P73*AA73)),IF(X73="Impacto",P73,"")),"")</f>
        <v>0.24</v>
      </c>
      <c r="AF73" s="211" t="str">
        <f t="shared" ref="AF73" si="187">IFERROR(IF(AE73="","",IF(AE73&lt;=0.2,"Muy Baja",IF(AE73&lt;=0.4,"Baja",IF(AE73&lt;=0.6,"Media",IF(AE73&lt;=0.8,"Alta","Muy Alta"))))),"")</f>
        <v>Baja</v>
      </c>
      <c r="AG73" s="208">
        <f t="shared" ref="AG73" si="188">+AE73</f>
        <v>0.24</v>
      </c>
      <c r="AH73" s="211" t="str">
        <f t="shared" ref="AH73" si="189">IFERROR(IF(AI73="","",IF(AI73&lt;=0.2,"Leve",IF(AI73&lt;=0.4,"Menor",IF(AI73&lt;=0.6,"Moderado",IF(AI73&lt;=0.8,"Mayor","Catastrófico"))))),"")</f>
        <v>Menor</v>
      </c>
      <c r="AI73" s="208">
        <f t="shared" ref="AI73" si="190">IFERROR(IF(X73="Impacto",(T73-(+T73*AA73)),IF(X73="Probabilidad",T73,"")),"")</f>
        <v>0.4</v>
      </c>
      <c r="AJ73" s="212" t="str">
        <f t="shared" ref="AJ73" si="191">IFERROR(IF(OR(AND(AF73="Muy Baja",AH73="Leve"),AND(AF73="Muy Baja",AH73="Menor"),AND(AF73="Baja",AH73="Leve")),"Bajo",IF(OR(AND(AF73="Muy baja",AH73="Moderado"),AND(AF73="Baja",AH73="Menor"),AND(AF73="Baja",AH73="Moderado"),AND(AF73="Media",AH73="Leve"),AND(AF73="Media",AH73="Menor"),AND(AF73="Media",AH73="Moderado"),AND(AF73="Alta",AH73="Leve"),AND(AF73="Alta",AH73="Menor")),"Moderado",IF(OR(AND(AF73="Muy Baja",AH73="Mayor"),AND(AF73="Baja",AH73="Mayor"),AND(AF73="Media",AH73="Mayor"),AND(AF73="Alta",AH73="Moderado"),AND(AF73="Alta",AH73="Mayor"),AND(AF73="Muy Alta",AH73="Leve"),AND(AF73="Muy Alta",AH73="Menor"),AND(AF73="Muy Alta",AH73="Moderado"),AND(AF73="Muy Alta",AH73="Mayor")),"Alto",IF(OR(AND(AF73="Muy Baja",AH73="Catastrófico"),AND(AF73="Baja",AH73="Catastrófico"),AND(AF73="Media",AH73="Catastrófico"),AND(AF73="Alta",AH73="Catastrófico"),AND(AF73="Muy Alta",AH73="Catastrófico")),"Extremo","")))),"")</f>
        <v>Moderado</v>
      </c>
      <c r="AK73" s="213" t="s">
        <v>124</v>
      </c>
      <c r="AL73" s="95" t="s">
        <v>591</v>
      </c>
      <c r="AM73" s="95" t="s">
        <v>581</v>
      </c>
      <c r="AN73" s="106" t="s">
        <v>582</v>
      </c>
      <c r="AO73" s="106" t="s">
        <v>583</v>
      </c>
      <c r="AP73" s="95" t="s">
        <v>592</v>
      </c>
      <c r="AQ73" s="96" t="s">
        <v>145</v>
      </c>
      <c r="AR73" s="95" t="s">
        <v>593</v>
      </c>
    </row>
    <row r="74" spans="1:44">
      <c r="N74" s="120"/>
      <c r="O74" s="201"/>
      <c r="P74" s="117"/>
      <c r="Q74" s="113"/>
      <c r="R74" s="109"/>
      <c r="S74" s="201"/>
    </row>
    <row r="75" spans="1:44">
      <c r="B75" s="1"/>
      <c r="C75" s="1"/>
      <c r="D75" s="1"/>
      <c r="E75" s="1"/>
      <c r="F75" s="1"/>
      <c r="G75" s="1"/>
      <c r="M75" s="1"/>
      <c r="AE75" s="1"/>
    </row>
  </sheetData>
  <dataConsolidate/>
  <mergeCells count="516">
    <mergeCell ref="I36:I37"/>
    <mergeCell ref="H36:H37"/>
    <mergeCell ref="G36:G37"/>
    <mergeCell ref="F36:F37"/>
    <mergeCell ref="E36:E37"/>
    <mergeCell ref="D36:D37"/>
    <mergeCell ref="C36:C37"/>
    <mergeCell ref="B36:B37"/>
    <mergeCell ref="A36:A37"/>
    <mergeCell ref="S36:S37"/>
    <mergeCell ref="R36:R37"/>
    <mergeCell ref="Q36:Q37"/>
    <mergeCell ref="P36:P37"/>
    <mergeCell ref="O36:O37"/>
    <mergeCell ref="N36:N37"/>
    <mergeCell ref="M36:M37"/>
    <mergeCell ref="L36:L37"/>
    <mergeCell ref="K36:K37"/>
    <mergeCell ref="O34:O35"/>
    <mergeCell ref="P34:P35"/>
    <mergeCell ref="Q34:Q35"/>
    <mergeCell ref="R34:R35"/>
    <mergeCell ref="S34:S35"/>
    <mergeCell ref="T34:T35"/>
    <mergeCell ref="U34:U35"/>
    <mergeCell ref="A34:A35"/>
    <mergeCell ref="B34:B35"/>
    <mergeCell ref="C34:C35"/>
    <mergeCell ref="D34:D35"/>
    <mergeCell ref="E34:E35"/>
    <mergeCell ref="F34:F35"/>
    <mergeCell ref="I34:I35"/>
    <mergeCell ref="J34:J35"/>
    <mergeCell ref="K34:K35"/>
    <mergeCell ref="A40:A41"/>
    <mergeCell ref="B40:B41"/>
    <mergeCell ref="C40:C41"/>
    <mergeCell ref="D40:D41"/>
    <mergeCell ref="E40:E41"/>
    <mergeCell ref="F40:F41"/>
    <mergeCell ref="G40:G41"/>
    <mergeCell ref="H40:H41"/>
    <mergeCell ref="I40:I41"/>
    <mergeCell ref="Z67:Z68"/>
    <mergeCell ref="AJ67:AJ68"/>
    <mergeCell ref="AK67:AK68"/>
    <mergeCell ref="AA67:AA68"/>
    <mergeCell ref="AB67:AB68"/>
    <mergeCell ref="AC67:AC68"/>
    <mergeCell ref="AD67:AD68"/>
    <mergeCell ref="AE67:AE68"/>
    <mergeCell ref="AF67:AF68"/>
    <mergeCell ref="AG67:AG68"/>
    <mergeCell ref="AH67:AH68"/>
    <mergeCell ref="AI67:AI68"/>
    <mergeCell ref="Q67:Q68"/>
    <mergeCell ref="R67:R68"/>
    <mergeCell ref="S67:S68"/>
    <mergeCell ref="T67:T68"/>
    <mergeCell ref="U67:U68"/>
    <mergeCell ref="V67:V68"/>
    <mergeCell ref="W67:W68"/>
    <mergeCell ref="X67:X68"/>
    <mergeCell ref="Y67:Y68"/>
    <mergeCell ref="AA46:AA47"/>
    <mergeCell ref="AB46:AB47"/>
    <mergeCell ref="AE53:AE55"/>
    <mergeCell ref="X46:X47"/>
    <mergeCell ref="Y46:Y47"/>
    <mergeCell ref="Z46:Z47"/>
    <mergeCell ref="AJ25:AJ26"/>
    <mergeCell ref="X31:X32"/>
    <mergeCell ref="AG46:AG47"/>
    <mergeCell ref="AH46:AH47"/>
    <mergeCell ref="AF46:AF47"/>
    <mergeCell ref="AG25:AG26"/>
    <mergeCell ref="AH25:AH26"/>
    <mergeCell ref="AI25:AI26"/>
    <mergeCell ref="AH50:AH51"/>
    <mergeCell ref="AI50:AI51"/>
    <mergeCell ref="AJ50:AJ51"/>
    <mergeCell ref="X53:X55"/>
    <mergeCell ref="Y53:Y55"/>
    <mergeCell ref="Z53:Z55"/>
    <mergeCell ref="AA53:AA55"/>
    <mergeCell ref="AC53:AC55"/>
    <mergeCell ref="AD53:AD55"/>
    <mergeCell ref="X50:X51"/>
    <mergeCell ref="AK25:AK26"/>
    <mergeCell ref="AF53:AF55"/>
    <mergeCell ref="AB25:AB26"/>
    <mergeCell ref="AG53:AG55"/>
    <mergeCell ref="AH53:AH55"/>
    <mergeCell ref="AI53:AI55"/>
    <mergeCell ref="AJ53:AJ55"/>
    <mergeCell ref="AK53:AK55"/>
    <mergeCell ref="AJ46:AJ47"/>
    <mergeCell ref="AK46:AK47"/>
    <mergeCell ref="AI46:AI47"/>
    <mergeCell ref="AC25:AC26"/>
    <mergeCell ref="AD25:AD26"/>
    <mergeCell ref="AE25:AE26"/>
    <mergeCell ref="AF25:AF26"/>
    <mergeCell ref="AG31:AG32"/>
    <mergeCell ref="AH31:AH32"/>
    <mergeCell ref="AI31:AI32"/>
    <mergeCell ref="AC46:AC47"/>
    <mergeCell ref="AD46:AD47"/>
    <mergeCell ref="AE46:AE47"/>
    <mergeCell ref="AK27:AK28"/>
    <mergeCell ref="AK50:AK51"/>
    <mergeCell ref="AB53:AB55"/>
    <mergeCell ref="J67:J68"/>
    <mergeCell ref="K67:K68"/>
    <mergeCell ref="L67:L68"/>
    <mergeCell ref="M67:M68"/>
    <mergeCell ref="N67:N68"/>
    <mergeCell ref="O67:O68"/>
    <mergeCell ref="P67:P68"/>
    <mergeCell ref="A67:A68"/>
    <mergeCell ref="B67:B68"/>
    <mergeCell ref="C67:C68"/>
    <mergeCell ref="D67:D68"/>
    <mergeCell ref="E67:E68"/>
    <mergeCell ref="F67:F68"/>
    <mergeCell ref="G67:G68"/>
    <mergeCell ref="H67:H68"/>
    <mergeCell ref="I67:I68"/>
    <mergeCell ref="AK19:AK22"/>
    <mergeCell ref="AM19:AM22"/>
    <mergeCell ref="AL27:AL28"/>
    <mergeCell ref="AM27:AM28"/>
    <mergeCell ref="Y31:Y32"/>
    <mergeCell ref="Z31:Z32"/>
    <mergeCell ref="AA31:AA32"/>
    <mergeCell ref="AB31:AB32"/>
    <mergeCell ref="AC31:AC32"/>
    <mergeCell ref="AD31:AD32"/>
    <mergeCell ref="AE31:AE32"/>
    <mergeCell ref="AF31:AF32"/>
    <mergeCell ref="Y25:Y26"/>
    <mergeCell ref="Z25:Z26"/>
    <mergeCell ref="AA25:AA26"/>
    <mergeCell ref="AC19:AC22"/>
    <mergeCell ref="AD19:AD22"/>
    <mergeCell ref="AE19:AE22"/>
    <mergeCell ref="AF19:AF22"/>
    <mergeCell ref="AJ31:AJ32"/>
    <mergeCell ref="AG19:AG22"/>
    <mergeCell ref="AH19:AH22"/>
    <mergeCell ref="AI19:AI22"/>
    <mergeCell ref="AJ19:AJ22"/>
    <mergeCell ref="O42:O45"/>
    <mergeCell ref="P42:P45"/>
    <mergeCell ref="Q42:Q45"/>
    <mergeCell ref="R42:R45"/>
    <mergeCell ref="X19:X22"/>
    <mergeCell ref="Y19:Y22"/>
    <mergeCell ref="Z19:Z22"/>
    <mergeCell ref="AA19:AA22"/>
    <mergeCell ref="AB19:AB22"/>
    <mergeCell ref="X25:X26"/>
    <mergeCell ref="O40:O41"/>
    <mergeCell ref="P40:P41"/>
    <mergeCell ref="Q40:Q41"/>
    <mergeCell ref="W19:W22"/>
    <mergeCell ref="V19:V22"/>
    <mergeCell ref="W25:W26"/>
    <mergeCell ref="T19:T22"/>
    <mergeCell ref="U19:U22"/>
    <mergeCell ref="V25:V26"/>
    <mergeCell ref="O31:O32"/>
    <mergeCell ref="P31:P32"/>
    <mergeCell ref="Q31:Q32"/>
    <mergeCell ref="V31:V32"/>
    <mergeCell ref="T25:T26"/>
    <mergeCell ref="A42:A45"/>
    <mergeCell ref="B42:B45"/>
    <mergeCell ref="C42:C45"/>
    <mergeCell ref="D42:D45"/>
    <mergeCell ref="E42:E45"/>
    <mergeCell ref="F42:F45"/>
    <mergeCell ref="G42:G45"/>
    <mergeCell ref="H42:H45"/>
    <mergeCell ref="I42:I45"/>
    <mergeCell ref="A31:A32"/>
    <mergeCell ref="B31:B32"/>
    <mergeCell ref="C31:C32"/>
    <mergeCell ref="D31:D32"/>
    <mergeCell ref="E31:E32"/>
    <mergeCell ref="F31:F32"/>
    <mergeCell ref="G31:G32"/>
    <mergeCell ref="H31:H32"/>
    <mergeCell ref="I31:I32"/>
    <mergeCell ref="J60:J61"/>
    <mergeCell ref="K60:K61"/>
    <mergeCell ref="L60:L61"/>
    <mergeCell ref="M60:M61"/>
    <mergeCell ref="N60:N61"/>
    <mergeCell ref="O60:O61"/>
    <mergeCell ref="P60:P61"/>
    <mergeCell ref="Q60:Q61"/>
    <mergeCell ref="R60:R61"/>
    <mergeCell ref="A60:A61"/>
    <mergeCell ref="B60:B61"/>
    <mergeCell ref="C60:C61"/>
    <mergeCell ref="D60:D61"/>
    <mergeCell ref="E60:E61"/>
    <mergeCell ref="F60:F61"/>
    <mergeCell ref="G60:G61"/>
    <mergeCell ref="H60:H61"/>
    <mergeCell ref="I60:I61"/>
    <mergeCell ref="A46:A47"/>
    <mergeCell ref="K46:K47"/>
    <mergeCell ref="J46:J47"/>
    <mergeCell ref="I46:I47"/>
    <mergeCell ref="H46:H47"/>
    <mergeCell ref="G46:G47"/>
    <mergeCell ref="F46:F47"/>
    <mergeCell ref="E46:E47"/>
    <mergeCell ref="D46:D47"/>
    <mergeCell ref="C46:C47"/>
    <mergeCell ref="B46:B47"/>
    <mergeCell ref="F8:U8"/>
    <mergeCell ref="V8:X8"/>
    <mergeCell ref="A12:N12"/>
    <mergeCell ref="O12:U12"/>
    <mergeCell ref="V12:AD12"/>
    <mergeCell ref="AE12:AK12"/>
    <mergeCell ref="T27:T28"/>
    <mergeCell ref="U27:U28"/>
    <mergeCell ref="Q27:Q28"/>
    <mergeCell ref="R27:R28"/>
    <mergeCell ref="A27:A28"/>
    <mergeCell ref="E27:E28"/>
    <mergeCell ref="F27:F28"/>
    <mergeCell ref="G27:G28"/>
    <mergeCell ref="H27:H28"/>
    <mergeCell ref="M27:M28"/>
    <mergeCell ref="N27:N28"/>
    <mergeCell ref="O27:O28"/>
    <mergeCell ref="P27:P28"/>
    <mergeCell ref="D27:D28"/>
    <mergeCell ref="A19:A22"/>
    <mergeCell ref="E19:E22"/>
    <mergeCell ref="F19:F22"/>
    <mergeCell ref="A25:A26"/>
    <mergeCell ref="Q17:Q18"/>
    <mergeCell ref="R17:R18"/>
    <mergeCell ref="S17:S18"/>
    <mergeCell ref="G19:G22"/>
    <mergeCell ref="H19:H22"/>
    <mergeCell ref="R19:R22"/>
    <mergeCell ref="S19:S22"/>
    <mergeCell ref="B19:B22"/>
    <mergeCell ref="C19:C22"/>
    <mergeCell ref="I19:I22"/>
    <mergeCell ref="J19:J22"/>
    <mergeCell ref="K19:K22"/>
    <mergeCell ref="L19:L22"/>
    <mergeCell ref="D19:D22"/>
    <mergeCell ref="M19:M22"/>
    <mergeCell ref="N19:N22"/>
    <mergeCell ref="O19:O22"/>
    <mergeCell ref="P19:P22"/>
    <mergeCell ref="Q19:Q22"/>
    <mergeCell ref="A17:A18"/>
    <mergeCell ref="E17:E18"/>
    <mergeCell ref="F17:F18"/>
    <mergeCell ref="G17:G18"/>
    <mergeCell ref="H17:H18"/>
    <mergeCell ref="M17:M18"/>
    <mergeCell ref="N17:N18"/>
    <mergeCell ref="O17:O18"/>
    <mergeCell ref="P17:P18"/>
    <mergeCell ref="K17:K18"/>
    <mergeCell ref="L17:L18"/>
    <mergeCell ref="A13:A14"/>
    <mergeCell ref="M13:M14"/>
    <mergeCell ref="H13:H14"/>
    <mergeCell ref="G13:G14"/>
    <mergeCell ref="F13:F14"/>
    <mergeCell ref="AK13:AK14"/>
    <mergeCell ref="V13:V14"/>
    <mergeCell ref="AJ13:AJ14"/>
    <mergeCell ref="AI13:AI14"/>
    <mergeCell ref="AE13:AE14"/>
    <mergeCell ref="W13:W14"/>
    <mergeCell ref="P13:P14"/>
    <mergeCell ref="S13:S14"/>
    <mergeCell ref="T13:T14"/>
    <mergeCell ref="E13:E14"/>
    <mergeCell ref="U13:U14"/>
    <mergeCell ref="AN17:AN18"/>
    <mergeCell ref="AO17:AO18"/>
    <mergeCell ref="AP17:AP18"/>
    <mergeCell ref="X13:X14"/>
    <mergeCell ref="Y13:AD13"/>
    <mergeCell ref="AL13:AL14"/>
    <mergeCell ref="AQ13:AQ14"/>
    <mergeCell ref="AP13:AP14"/>
    <mergeCell ref="AO13:AO14"/>
    <mergeCell ref="AN13:AN14"/>
    <mergeCell ref="AM13:AM14"/>
    <mergeCell ref="AQ17:AQ18"/>
    <mergeCell ref="AK17:AK18"/>
    <mergeCell ref="AR17:AR18"/>
    <mergeCell ref="AR13:AR14"/>
    <mergeCell ref="A10:AR10"/>
    <mergeCell ref="AL12:AR12"/>
    <mergeCell ref="B13:B14"/>
    <mergeCell ref="C13:C14"/>
    <mergeCell ref="D13:D14"/>
    <mergeCell ref="AH13:AH14"/>
    <mergeCell ref="AF13:AF14"/>
    <mergeCell ref="AG13:AG14"/>
    <mergeCell ref="N13:N14"/>
    <mergeCell ref="O13:O14"/>
    <mergeCell ref="D17:D18"/>
    <mergeCell ref="I13:L13"/>
    <mergeCell ref="C17:C18"/>
    <mergeCell ref="B17:B18"/>
    <mergeCell ref="I17:I18"/>
    <mergeCell ref="J17:J18"/>
    <mergeCell ref="Q13:Q14"/>
    <mergeCell ref="R13:R14"/>
    <mergeCell ref="T17:T18"/>
    <mergeCell ref="U17:U18"/>
    <mergeCell ref="AL17:AL18"/>
    <mergeCell ref="AM17:AM18"/>
    <mergeCell ref="B27:B28"/>
    <mergeCell ref="C27:C28"/>
    <mergeCell ref="I27:I28"/>
    <mergeCell ref="J27:J28"/>
    <mergeCell ref="K27:K28"/>
    <mergeCell ref="L27:L28"/>
    <mergeCell ref="D25:D26"/>
    <mergeCell ref="S27:S28"/>
    <mergeCell ref="I25:I26"/>
    <mergeCell ref="J25:J26"/>
    <mergeCell ref="K25:K26"/>
    <mergeCell ref="M25:M26"/>
    <mergeCell ref="N25:N26"/>
    <mergeCell ref="O25:O26"/>
    <mergeCell ref="P25:P26"/>
    <mergeCell ref="Q25:Q26"/>
    <mergeCell ref="E25:E26"/>
    <mergeCell ref="F25:F26"/>
    <mergeCell ref="G25:G26"/>
    <mergeCell ref="H25:H26"/>
    <mergeCell ref="B25:B26"/>
    <mergeCell ref="C25:C26"/>
    <mergeCell ref="R25:R26"/>
    <mergeCell ref="S25:S26"/>
    <mergeCell ref="O46:O47"/>
    <mergeCell ref="P46:P47"/>
    <mergeCell ref="Q46:Q47"/>
    <mergeCell ref="R46:R47"/>
    <mergeCell ref="S46:S47"/>
    <mergeCell ref="T46:T47"/>
    <mergeCell ref="U46:U47"/>
    <mergeCell ref="M46:M47"/>
    <mergeCell ref="N46:N47"/>
    <mergeCell ref="L25:L26"/>
    <mergeCell ref="L46:L47"/>
    <mergeCell ref="N42:N45"/>
    <mergeCell ref="J40:J41"/>
    <mergeCell ref="K40:K41"/>
    <mergeCell ref="L40:L41"/>
    <mergeCell ref="M40:M41"/>
    <mergeCell ref="N40:N41"/>
    <mergeCell ref="J31:J32"/>
    <mergeCell ref="K31:K32"/>
    <mergeCell ref="L31:L32"/>
    <mergeCell ref="M31:M32"/>
    <mergeCell ref="N31:N32"/>
    <mergeCell ref="J42:J45"/>
    <mergeCell ref="K42:K45"/>
    <mergeCell ref="L42:L45"/>
    <mergeCell ref="M42:M45"/>
    <mergeCell ref="L34:L35"/>
    <mergeCell ref="M34:M35"/>
    <mergeCell ref="N34:N35"/>
    <mergeCell ref="J36:J37"/>
    <mergeCell ref="U25:U26"/>
    <mergeCell ref="R31:R32"/>
    <mergeCell ref="S31:S32"/>
    <mergeCell ref="T31:T32"/>
    <mergeCell ref="U31:U32"/>
    <mergeCell ref="A56:A57"/>
    <mergeCell ref="H56:H57"/>
    <mergeCell ref="I56:I57"/>
    <mergeCell ref="J56:J57"/>
    <mergeCell ref="K56:K57"/>
    <mergeCell ref="L56:L57"/>
    <mergeCell ref="M56:M57"/>
    <mergeCell ref="B53:B55"/>
    <mergeCell ref="C53:C55"/>
    <mergeCell ref="F56:F57"/>
    <mergeCell ref="C56:C57"/>
    <mergeCell ref="B56:B57"/>
    <mergeCell ref="D56:D57"/>
    <mergeCell ref="E56:E57"/>
    <mergeCell ref="A53:A55"/>
    <mergeCell ref="J50:J51"/>
    <mergeCell ref="K50:K51"/>
    <mergeCell ref="L50:L51"/>
    <mergeCell ref="M50:M51"/>
    <mergeCell ref="N50:N51"/>
    <mergeCell ref="O50:O51"/>
    <mergeCell ref="P50:P51"/>
    <mergeCell ref="Q50:Q51"/>
    <mergeCell ref="R50:R51"/>
    <mergeCell ref="A50:A51"/>
    <mergeCell ref="B50:B51"/>
    <mergeCell ref="C50:C51"/>
    <mergeCell ref="D50:D51"/>
    <mergeCell ref="E50:E51"/>
    <mergeCell ref="F50:F51"/>
    <mergeCell ref="G50:G51"/>
    <mergeCell ref="H50:H51"/>
    <mergeCell ref="I50:I51"/>
    <mergeCell ref="N56:N57"/>
    <mergeCell ref="O56:O57"/>
    <mergeCell ref="P56:P57"/>
    <mergeCell ref="Q56:Q57"/>
    <mergeCell ref="R56:R57"/>
    <mergeCell ref="S56:S57"/>
    <mergeCell ref="T56:T57"/>
    <mergeCell ref="U56:U57"/>
    <mergeCell ref="D53:D55"/>
    <mergeCell ref="E53:E55"/>
    <mergeCell ref="F53:F55"/>
    <mergeCell ref="G53:G55"/>
    <mergeCell ref="H53:H55"/>
    <mergeCell ref="M53:M55"/>
    <mergeCell ref="I53:I55"/>
    <mergeCell ref="J53:J55"/>
    <mergeCell ref="K53:K55"/>
    <mergeCell ref="L53:L55"/>
    <mergeCell ref="N53:N55"/>
    <mergeCell ref="O53:O55"/>
    <mergeCell ref="P53:P55"/>
    <mergeCell ref="Q53:Q55"/>
    <mergeCell ref="R53:R55"/>
    <mergeCell ref="S53:S55"/>
    <mergeCell ref="T60:T61"/>
    <mergeCell ref="U60:U61"/>
    <mergeCell ref="W31:W32"/>
    <mergeCell ref="S42:S45"/>
    <mergeCell ref="T42:T45"/>
    <mergeCell ref="U42:U45"/>
    <mergeCell ref="R40:R41"/>
    <mergeCell ref="S40:S41"/>
    <mergeCell ref="T40:T41"/>
    <mergeCell ref="U40:U41"/>
    <mergeCell ref="W46:W47"/>
    <mergeCell ref="V46:V47"/>
    <mergeCell ref="S50:S51"/>
    <mergeCell ref="T50:T51"/>
    <mergeCell ref="U50:U51"/>
    <mergeCell ref="V53:V55"/>
    <mergeCell ref="W53:W55"/>
    <mergeCell ref="T53:T55"/>
    <mergeCell ref="U53:U55"/>
    <mergeCell ref="S60:S61"/>
    <mergeCell ref="U36:U37"/>
    <mergeCell ref="T36:T37"/>
    <mergeCell ref="V50:V51"/>
    <mergeCell ref="W50:W51"/>
    <mergeCell ref="Y50:Y51"/>
    <mergeCell ref="Z50:Z51"/>
    <mergeCell ref="AA50:AA51"/>
    <mergeCell ref="AB50:AB51"/>
    <mergeCell ref="AC50:AC51"/>
    <mergeCell ref="AD50:AD51"/>
    <mergeCell ref="AE50:AE51"/>
    <mergeCell ref="AF50:AF51"/>
    <mergeCell ref="AG50:AG51"/>
    <mergeCell ref="AN27:AN28"/>
    <mergeCell ref="AO27:AO28"/>
    <mergeCell ref="AP27:AP28"/>
    <mergeCell ref="AQ27:AQ28"/>
    <mergeCell ref="AR27:AR28"/>
    <mergeCell ref="AK56:AK57"/>
    <mergeCell ref="AK42:AK45"/>
    <mergeCell ref="AL56:AL57"/>
    <mergeCell ref="AM56:AM57"/>
    <mergeCell ref="AK31:AK32"/>
    <mergeCell ref="AL40:AL41"/>
    <mergeCell ref="AM40:AM41"/>
    <mergeCell ref="AN40:AN41"/>
    <mergeCell ref="AO40:AO41"/>
    <mergeCell ref="AP40:AP41"/>
    <mergeCell ref="AQ40:AQ41"/>
    <mergeCell ref="AR40:AR41"/>
    <mergeCell ref="AL42:AL43"/>
    <mergeCell ref="AM42:AM43"/>
    <mergeCell ref="AN42:AN43"/>
    <mergeCell ref="AO42:AO43"/>
    <mergeCell ref="AL44:AL45"/>
    <mergeCell ref="AM44:AM45"/>
    <mergeCell ref="AP42:AP43"/>
    <mergeCell ref="AK60:AK61"/>
    <mergeCell ref="AN44:AN45"/>
    <mergeCell ref="AO44:AO45"/>
    <mergeCell ref="AP44:AP45"/>
    <mergeCell ref="AQ42:AQ43"/>
    <mergeCell ref="AQ44:AQ45"/>
    <mergeCell ref="AR42:AR43"/>
    <mergeCell ref="AR44:AR45"/>
    <mergeCell ref="AN56:AN57"/>
    <mergeCell ref="AO56:AO57"/>
    <mergeCell ref="AP56:AP57"/>
    <mergeCell ref="AQ56:AQ57"/>
    <mergeCell ref="AR56:AR57"/>
  </mergeCells>
  <phoneticPr fontId="55" type="noConversion"/>
  <conditionalFormatting sqref="O15 AF53 AF69 O69 O33:O34 O36 O38">
    <cfRule type="cellIs" dxfId="839" priority="1784" operator="equal">
      <formula>"Muy Alta"</formula>
    </cfRule>
    <cfRule type="cellIs" dxfId="838" priority="1785" operator="equal">
      <formula>"Alta"</formula>
    </cfRule>
    <cfRule type="cellIs" dxfId="837" priority="1786" operator="equal">
      <formula>"Media"</formula>
    </cfRule>
    <cfRule type="cellIs" dxfId="836" priority="1787" operator="equal">
      <formula>"Baja"</formula>
    </cfRule>
    <cfRule type="cellIs" dxfId="835" priority="1788" operator="equal">
      <formula>"Muy Baja"</formula>
    </cfRule>
  </conditionalFormatting>
  <conditionalFormatting sqref="S15 S19 S23 S25 S29 AH53 AH16 AH69 S33:S34 S36 S38">
    <cfRule type="cellIs" dxfId="834" priority="1779" operator="equal">
      <formula>"Catastrófico"</formula>
    </cfRule>
    <cfRule type="cellIs" dxfId="833" priority="1780" operator="equal">
      <formula>"Mayor"</formula>
    </cfRule>
    <cfRule type="cellIs" dxfId="832" priority="1781" operator="equal">
      <formula>"Moderado"</formula>
    </cfRule>
    <cfRule type="cellIs" dxfId="831" priority="1782" operator="equal">
      <formula>"Menor"</formula>
    </cfRule>
    <cfRule type="cellIs" dxfId="830" priority="1783" operator="equal">
      <formula>"Leve"</formula>
    </cfRule>
  </conditionalFormatting>
  <conditionalFormatting sqref="U15 AJ53 AJ16 AJ69 U33:U34 U36 U38">
    <cfRule type="cellIs" dxfId="829" priority="1775" operator="equal">
      <formula>"Extremo"</formula>
    </cfRule>
    <cfRule type="cellIs" dxfId="828" priority="1776" operator="equal">
      <formula>"Alto"</formula>
    </cfRule>
    <cfRule type="cellIs" dxfId="827" priority="1777" operator="equal">
      <formula>"Moderado"</formula>
    </cfRule>
    <cfRule type="cellIs" dxfId="826" priority="1778" operator="equal">
      <formula>"Bajo"</formula>
    </cfRule>
  </conditionalFormatting>
  <conditionalFormatting sqref="AF15">
    <cfRule type="cellIs" dxfId="825" priority="1770" operator="equal">
      <formula>"Muy Alta"</formula>
    </cfRule>
    <cfRule type="cellIs" dxfId="824" priority="1771" operator="equal">
      <formula>"Alta"</formula>
    </cfRule>
    <cfRule type="cellIs" dxfId="823" priority="1772" operator="equal">
      <formula>"Media"</formula>
    </cfRule>
    <cfRule type="cellIs" dxfId="822" priority="1773" operator="equal">
      <formula>"Baja"</formula>
    </cfRule>
    <cfRule type="cellIs" dxfId="821" priority="1774" operator="equal">
      <formula>"Muy Baja"</formula>
    </cfRule>
  </conditionalFormatting>
  <conditionalFormatting sqref="AH15">
    <cfRule type="cellIs" dxfId="820" priority="1765" operator="equal">
      <formula>"Catastrófico"</formula>
    </cfRule>
    <cfRule type="cellIs" dxfId="819" priority="1766" operator="equal">
      <formula>"Mayor"</formula>
    </cfRule>
    <cfRule type="cellIs" dxfId="818" priority="1767" operator="equal">
      <formula>"Moderado"</formula>
    </cfRule>
    <cfRule type="cellIs" dxfId="817" priority="1768" operator="equal">
      <formula>"Menor"</formula>
    </cfRule>
    <cfRule type="cellIs" dxfId="816" priority="1769" operator="equal">
      <formula>"Leve"</formula>
    </cfRule>
  </conditionalFormatting>
  <conditionalFormatting sqref="AJ15">
    <cfRule type="cellIs" dxfId="815" priority="1761" operator="equal">
      <formula>"Extremo"</formula>
    </cfRule>
    <cfRule type="cellIs" dxfId="814" priority="1762" operator="equal">
      <formula>"Alto"</formula>
    </cfRule>
    <cfRule type="cellIs" dxfId="813" priority="1763" operator="equal">
      <formula>"Moderado"</formula>
    </cfRule>
    <cfRule type="cellIs" dxfId="812" priority="1764" operator="equal">
      <formula>"Bajo"</formula>
    </cfRule>
  </conditionalFormatting>
  <conditionalFormatting sqref="AF17:AF18">
    <cfRule type="cellIs" dxfId="811" priority="1644" operator="equal">
      <formula>"Muy Alta"</formula>
    </cfRule>
    <cfRule type="cellIs" dxfId="810" priority="1645" operator="equal">
      <formula>"Alta"</formula>
    </cfRule>
    <cfRule type="cellIs" dxfId="809" priority="1646" operator="equal">
      <formula>"Media"</formula>
    </cfRule>
    <cfRule type="cellIs" dxfId="808" priority="1647" operator="equal">
      <formula>"Baja"</formula>
    </cfRule>
    <cfRule type="cellIs" dxfId="807" priority="1648" operator="equal">
      <formula>"Muy Baja"</formula>
    </cfRule>
  </conditionalFormatting>
  <conditionalFormatting sqref="AH17:AH18">
    <cfRule type="cellIs" dxfId="806" priority="1639" operator="equal">
      <formula>"Catastrófico"</formula>
    </cfRule>
    <cfRule type="cellIs" dxfId="805" priority="1640" operator="equal">
      <formula>"Mayor"</formula>
    </cfRule>
    <cfRule type="cellIs" dxfId="804" priority="1641" operator="equal">
      <formula>"Moderado"</formula>
    </cfRule>
    <cfRule type="cellIs" dxfId="803" priority="1642" operator="equal">
      <formula>"Menor"</formula>
    </cfRule>
    <cfRule type="cellIs" dxfId="802" priority="1643" operator="equal">
      <formula>"Leve"</formula>
    </cfRule>
  </conditionalFormatting>
  <conditionalFormatting sqref="AJ17:AJ18">
    <cfRule type="cellIs" dxfId="801" priority="1635" operator="equal">
      <formula>"Extremo"</formula>
    </cfRule>
    <cfRule type="cellIs" dxfId="800" priority="1636" operator="equal">
      <formula>"Alto"</formula>
    </cfRule>
    <cfRule type="cellIs" dxfId="799" priority="1637" operator="equal">
      <formula>"Moderado"</formula>
    </cfRule>
    <cfRule type="cellIs" dxfId="798" priority="1638" operator="equal">
      <formula>"Bajo"</formula>
    </cfRule>
  </conditionalFormatting>
  <conditionalFormatting sqref="O19">
    <cfRule type="cellIs" dxfId="797" priority="1630" operator="equal">
      <formula>"Muy Alta"</formula>
    </cfRule>
    <cfRule type="cellIs" dxfId="796" priority="1631" operator="equal">
      <formula>"Alta"</formula>
    </cfRule>
    <cfRule type="cellIs" dxfId="795" priority="1632" operator="equal">
      <formula>"Media"</formula>
    </cfRule>
    <cfRule type="cellIs" dxfId="794" priority="1633" operator="equal">
      <formula>"Baja"</formula>
    </cfRule>
    <cfRule type="cellIs" dxfId="793" priority="1634" operator="equal">
      <formula>"Muy Baja"</formula>
    </cfRule>
  </conditionalFormatting>
  <conditionalFormatting sqref="U19">
    <cfRule type="cellIs" dxfId="792" priority="1621" operator="equal">
      <formula>"Extremo"</formula>
    </cfRule>
    <cfRule type="cellIs" dxfId="791" priority="1622" operator="equal">
      <formula>"Alto"</formula>
    </cfRule>
    <cfRule type="cellIs" dxfId="790" priority="1623" operator="equal">
      <formula>"Moderado"</formula>
    </cfRule>
    <cfRule type="cellIs" dxfId="789" priority="1624" operator="equal">
      <formula>"Bajo"</formula>
    </cfRule>
  </conditionalFormatting>
  <conditionalFormatting sqref="AF19">
    <cfRule type="cellIs" dxfId="788" priority="1616" operator="equal">
      <formula>"Muy Alta"</formula>
    </cfRule>
    <cfRule type="cellIs" dxfId="787" priority="1617" operator="equal">
      <formula>"Alta"</formula>
    </cfRule>
    <cfRule type="cellIs" dxfId="786" priority="1618" operator="equal">
      <formula>"Media"</formula>
    </cfRule>
    <cfRule type="cellIs" dxfId="785" priority="1619" operator="equal">
      <formula>"Baja"</formula>
    </cfRule>
    <cfRule type="cellIs" dxfId="784" priority="1620" operator="equal">
      <formula>"Muy Baja"</formula>
    </cfRule>
  </conditionalFormatting>
  <conditionalFormatting sqref="AH19">
    <cfRule type="cellIs" dxfId="783" priority="1611" operator="equal">
      <formula>"Catastrófico"</formula>
    </cfRule>
    <cfRule type="cellIs" dxfId="782" priority="1612" operator="equal">
      <formula>"Mayor"</formula>
    </cfRule>
    <cfRule type="cellIs" dxfId="781" priority="1613" operator="equal">
      <formula>"Moderado"</formula>
    </cfRule>
    <cfRule type="cellIs" dxfId="780" priority="1614" operator="equal">
      <formula>"Menor"</formula>
    </cfRule>
    <cfRule type="cellIs" dxfId="779" priority="1615" operator="equal">
      <formula>"Leve"</formula>
    </cfRule>
  </conditionalFormatting>
  <conditionalFormatting sqref="AJ19">
    <cfRule type="cellIs" dxfId="778" priority="1607" operator="equal">
      <formula>"Extremo"</formula>
    </cfRule>
    <cfRule type="cellIs" dxfId="777" priority="1608" operator="equal">
      <formula>"Alto"</formula>
    </cfRule>
    <cfRule type="cellIs" dxfId="776" priority="1609" operator="equal">
      <formula>"Moderado"</formula>
    </cfRule>
    <cfRule type="cellIs" dxfId="775" priority="1610" operator="equal">
      <formula>"Bajo"</formula>
    </cfRule>
  </conditionalFormatting>
  <conditionalFormatting sqref="O23">
    <cfRule type="cellIs" dxfId="774" priority="1602" operator="equal">
      <formula>"Muy Alta"</formula>
    </cfRule>
    <cfRule type="cellIs" dxfId="773" priority="1603" operator="equal">
      <formula>"Alta"</formula>
    </cfRule>
    <cfRule type="cellIs" dxfId="772" priority="1604" operator="equal">
      <formula>"Media"</formula>
    </cfRule>
    <cfRule type="cellIs" dxfId="771" priority="1605" operator="equal">
      <formula>"Baja"</formula>
    </cfRule>
    <cfRule type="cellIs" dxfId="770" priority="1606" operator="equal">
      <formula>"Muy Baja"</formula>
    </cfRule>
  </conditionalFormatting>
  <conditionalFormatting sqref="U23">
    <cfRule type="cellIs" dxfId="769" priority="1593" operator="equal">
      <formula>"Extremo"</formula>
    </cfRule>
    <cfRule type="cellIs" dxfId="768" priority="1594" operator="equal">
      <formula>"Alto"</formula>
    </cfRule>
    <cfRule type="cellIs" dxfId="767" priority="1595" operator="equal">
      <formula>"Moderado"</formula>
    </cfRule>
    <cfRule type="cellIs" dxfId="766" priority="1596" operator="equal">
      <formula>"Bajo"</formula>
    </cfRule>
  </conditionalFormatting>
  <conditionalFormatting sqref="AF24">
    <cfRule type="cellIs" dxfId="765" priority="1560" operator="equal">
      <formula>"Muy Alta"</formula>
    </cfRule>
    <cfRule type="cellIs" dxfId="764" priority="1561" operator="equal">
      <formula>"Alta"</formula>
    </cfRule>
    <cfRule type="cellIs" dxfId="763" priority="1562" operator="equal">
      <formula>"Media"</formula>
    </cfRule>
    <cfRule type="cellIs" dxfId="762" priority="1563" operator="equal">
      <formula>"Baja"</formula>
    </cfRule>
    <cfRule type="cellIs" dxfId="761" priority="1564" operator="equal">
      <formula>"Muy Baja"</formula>
    </cfRule>
  </conditionalFormatting>
  <conditionalFormatting sqref="AH24">
    <cfRule type="cellIs" dxfId="760" priority="1555" operator="equal">
      <formula>"Catastrófico"</formula>
    </cfRule>
    <cfRule type="cellIs" dxfId="759" priority="1556" operator="equal">
      <formula>"Mayor"</formula>
    </cfRule>
    <cfRule type="cellIs" dxfId="758" priority="1557" operator="equal">
      <formula>"Moderado"</formula>
    </cfRule>
    <cfRule type="cellIs" dxfId="757" priority="1558" operator="equal">
      <formula>"Menor"</formula>
    </cfRule>
    <cfRule type="cellIs" dxfId="756" priority="1559" operator="equal">
      <formula>"Leve"</formula>
    </cfRule>
  </conditionalFormatting>
  <conditionalFormatting sqref="AJ24">
    <cfRule type="cellIs" dxfId="755" priority="1551" operator="equal">
      <formula>"Extremo"</formula>
    </cfRule>
    <cfRule type="cellIs" dxfId="754" priority="1552" operator="equal">
      <formula>"Alto"</formula>
    </cfRule>
    <cfRule type="cellIs" dxfId="753" priority="1553" operator="equal">
      <formula>"Moderado"</formula>
    </cfRule>
    <cfRule type="cellIs" dxfId="752" priority="1554" operator="equal">
      <formula>"Bajo"</formula>
    </cfRule>
  </conditionalFormatting>
  <conditionalFormatting sqref="O25">
    <cfRule type="cellIs" dxfId="751" priority="1546" operator="equal">
      <formula>"Muy Alta"</formula>
    </cfRule>
    <cfRule type="cellIs" dxfId="750" priority="1547" operator="equal">
      <formula>"Alta"</formula>
    </cfRule>
    <cfRule type="cellIs" dxfId="749" priority="1548" operator="equal">
      <formula>"Media"</formula>
    </cfRule>
    <cfRule type="cellIs" dxfId="748" priority="1549" operator="equal">
      <formula>"Baja"</formula>
    </cfRule>
    <cfRule type="cellIs" dxfId="747" priority="1550" operator="equal">
      <formula>"Muy Baja"</formula>
    </cfRule>
  </conditionalFormatting>
  <conditionalFormatting sqref="U25">
    <cfRule type="cellIs" dxfId="746" priority="1537" operator="equal">
      <formula>"Extremo"</formula>
    </cfRule>
    <cfRule type="cellIs" dxfId="745" priority="1538" operator="equal">
      <formula>"Alto"</formula>
    </cfRule>
    <cfRule type="cellIs" dxfId="744" priority="1539" operator="equal">
      <formula>"Moderado"</formula>
    </cfRule>
    <cfRule type="cellIs" dxfId="743" priority="1540" operator="equal">
      <formula>"Bajo"</formula>
    </cfRule>
  </conditionalFormatting>
  <conditionalFormatting sqref="AF25">
    <cfRule type="cellIs" dxfId="742" priority="1532" operator="equal">
      <formula>"Muy Alta"</formula>
    </cfRule>
    <cfRule type="cellIs" dxfId="741" priority="1533" operator="equal">
      <formula>"Alta"</formula>
    </cfRule>
    <cfRule type="cellIs" dxfId="740" priority="1534" operator="equal">
      <formula>"Media"</formula>
    </cfRule>
    <cfRule type="cellIs" dxfId="739" priority="1535" operator="equal">
      <formula>"Baja"</formula>
    </cfRule>
    <cfRule type="cellIs" dxfId="738" priority="1536" operator="equal">
      <formula>"Muy Baja"</formula>
    </cfRule>
  </conditionalFormatting>
  <conditionalFormatting sqref="AH25">
    <cfRule type="cellIs" dxfId="737" priority="1527" operator="equal">
      <formula>"Catastrófico"</formula>
    </cfRule>
    <cfRule type="cellIs" dxfId="736" priority="1528" operator="equal">
      <formula>"Mayor"</formula>
    </cfRule>
    <cfRule type="cellIs" dxfId="735" priority="1529" operator="equal">
      <formula>"Moderado"</formula>
    </cfRule>
    <cfRule type="cellIs" dxfId="734" priority="1530" operator="equal">
      <formula>"Menor"</formula>
    </cfRule>
    <cfRule type="cellIs" dxfId="733" priority="1531" operator="equal">
      <formula>"Leve"</formula>
    </cfRule>
  </conditionalFormatting>
  <conditionalFormatting sqref="AJ25">
    <cfRule type="cellIs" dxfId="732" priority="1523" operator="equal">
      <formula>"Extremo"</formula>
    </cfRule>
    <cfRule type="cellIs" dxfId="731" priority="1524" operator="equal">
      <formula>"Alto"</formula>
    </cfRule>
    <cfRule type="cellIs" dxfId="730" priority="1525" operator="equal">
      <formula>"Moderado"</formula>
    </cfRule>
    <cfRule type="cellIs" dxfId="729" priority="1526" operator="equal">
      <formula>"Bajo"</formula>
    </cfRule>
  </conditionalFormatting>
  <conditionalFormatting sqref="AF27:AF28">
    <cfRule type="cellIs" dxfId="728" priority="1504" operator="equal">
      <formula>"Muy Alta"</formula>
    </cfRule>
    <cfRule type="cellIs" dxfId="727" priority="1505" operator="equal">
      <formula>"Alta"</formula>
    </cfRule>
    <cfRule type="cellIs" dxfId="726" priority="1506" operator="equal">
      <formula>"Media"</formula>
    </cfRule>
    <cfRule type="cellIs" dxfId="725" priority="1507" operator="equal">
      <formula>"Baja"</formula>
    </cfRule>
    <cfRule type="cellIs" dxfId="724" priority="1508" operator="equal">
      <formula>"Muy Baja"</formula>
    </cfRule>
  </conditionalFormatting>
  <conditionalFormatting sqref="AH27:AH28">
    <cfRule type="cellIs" dxfId="723" priority="1499" operator="equal">
      <formula>"Catastrófico"</formula>
    </cfRule>
    <cfRule type="cellIs" dxfId="722" priority="1500" operator="equal">
      <formula>"Mayor"</formula>
    </cfRule>
    <cfRule type="cellIs" dxfId="721" priority="1501" operator="equal">
      <formula>"Moderado"</formula>
    </cfRule>
    <cfRule type="cellIs" dxfId="720" priority="1502" operator="equal">
      <formula>"Menor"</formula>
    </cfRule>
    <cfRule type="cellIs" dxfId="719" priority="1503" operator="equal">
      <formula>"Leve"</formula>
    </cfRule>
  </conditionalFormatting>
  <conditionalFormatting sqref="AJ27:AJ28">
    <cfRule type="cellIs" dxfId="718" priority="1495" operator="equal">
      <formula>"Extremo"</formula>
    </cfRule>
    <cfRule type="cellIs" dxfId="717" priority="1496" operator="equal">
      <formula>"Alto"</formula>
    </cfRule>
    <cfRule type="cellIs" dxfId="716" priority="1497" operator="equal">
      <formula>"Moderado"</formula>
    </cfRule>
    <cfRule type="cellIs" dxfId="715" priority="1498" operator="equal">
      <formula>"Bajo"</formula>
    </cfRule>
  </conditionalFormatting>
  <conditionalFormatting sqref="O29">
    <cfRule type="cellIs" dxfId="714" priority="1490" operator="equal">
      <formula>"Muy Alta"</formula>
    </cfRule>
    <cfRule type="cellIs" dxfId="713" priority="1491" operator="equal">
      <formula>"Alta"</formula>
    </cfRule>
    <cfRule type="cellIs" dxfId="712" priority="1492" operator="equal">
      <formula>"Media"</formula>
    </cfRule>
    <cfRule type="cellIs" dxfId="711" priority="1493" operator="equal">
      <formula>"Baja"</formula>
    </cfRule>
    <cfRule type="cellIs" dxfId="710" priority="1494" operator="equal">
      <formula>"Muy Baja"</formula>
    </cfRule>
  </conditionalFormatting>
  <conditionalFormatting sqref="U29">
    <cfRule type="cellIs" dxfId="709" priority="1481" operator="equal">
      <formula>"Extremo"</formula>
    </cfRule>
    <cfRule type="cellIs" dxfId="708" priority="1482" operator="equal">
      <formula>"Alto"</formula>
    </cfRule>
    <cfRule type="cellIs" dxfId="707" priority="1483" operator="equal">
      <formula>"Moderado"</formula>
    </cfRule>
    <cfRule type="cellIs" dxfId="706" priority="1484" operator="equal">
      <formula>"Bajo"</formula>
    </cfRule>
  </conditionalFormatting>
  <conditionalFormatting sqref="AF29">
    <cfRule type="cellIs" dxfId="705" priority="1476" operator="equal">
      <formula>"Muy Alta"</formula>
    </cfRule>
    <cfRule type="cellIs" dxfId="704" priority="1477" operator="equal">
      <formula>"Alta"</formula>
    </cfRule>
    <cfRule type="cellIs" dxfId="703" priority="1478" operator="equal">
      <formula>"Media"</formula>
    </cfRule>
    <cfRule type="cellIs" dxfId="702" priority="1479" operator="equal">
      <formula>"Baja"</formula>
    </cfRule>
    <cfRule type="cellIs" dxfId="701" priority="1480" operator="equal">
      <formula>"Muy Baja"</formula>
    </cfRule>
  </conditionalFormatting>
  <conditionalFormatting sqref="AH29">
    <cfRule type="cellIs" dxfId="700" priority="1471" operator="equal">
      <formula>"Catastrófico"</formula>
    </cfRule>
    <cfRule type="cellIs" dxfId="699" priority="1472" operator="equal">
      <formula>"Mayor"</formula>
    </cfRule>
    <cfRule type="cellIs" dxfId="698" priority="1473" operator="equal">
      <formula>"Moderado"</formula>
    </cfRule>
    <cfRule type="cellIs" dxfId="697" priority="1474" operator="equal">
      <formula>"Menor"</formula>
    </cfRule>
    <cfRule type="cellIs" dxfId="696" priority="1475" operator="equal">
      <formula>"Leve"</formula>
    </cfRule>
  </conditionalFormatting>
  <conditionalFormatting sqref="AJ29">
    <cfRule type="cellIs" dxfId="695" priority="1467" operator="equal">
      <formula>"Extremo"</formula>
    </cfRule>
    <cfRule type="cellIs" dxfId="694" priority="1468" operator="equal">
      <formula>"Alto"</formula>
    </cfRule>
    <cfRule type="cellIs" dxfId="693" priority="1469" operator="equal">
      <formula>"Moderado"</formula>
    </cfRule>
    <cfRule type="cellIs" dxfId="692" priority="1470" operator="equal">
      <formula>"Bajo"</formula>
    </cfRule>
  </conditionalFormatting>
  <conditionalFormatting sqref="R15 R19:R23 R25:R29 R33:R34 R36 R38">
    <cfRule type="containsText" dxfId="691" priority="1466" operator="containsText" text="❌">
      <formula>NOT(ISERROR(SEARCH("❌",R15)))</formula>
    </cfRule>
  </conditionalFormatting>
  <conditionalFormatting sqref="S30:S31">
    <cfRule type="cellIs" dxfId="690" priority="1403" operator="equal">
      <formula>"Catastrófico"</formula>
    </cfRule>
    <cfRule type="cellIs" dxfId="689" priority="1404" operator="equal">
      <formula>"Mayor"</formula>
    </cfRule>
    <cfRule type="cellIs" dxfId="688" priority="1405" operator="equal">
      <formula>"Moderado"</formula>
    </cfRule>
    <cfRule type="cellIs" dxfId="687" priority="1406" operator="equal">
      <formula>"Menor"</formula>
    </cfRule>
    <cfRule type="cellIs" dxfId="686" priority="1407" operator="equal">
      <formula>"Leve"</formula>
    </cfRule>
  </conditionalFormatting>
  <conditionalFormatting sqref="O30:O31">
    <cfRule type="cellIs" dxfId="685" priority="1398" operator="equal">
      <formula>"Muy Alta"</formula>
    </cfRule>
    <cfRule type="cellIs" dxfId="684" priority="1399" operator="equal">
      <formula>"Alta"</formula>
    </cfRule>
    <cfRule type="cellIs" dxfId="683" priority="1400" operator="equal">
      <formula>"Media"</formula>
    </cfRule>
    <cfRule type="cellIs" dxfId="682" priority="1401" operator="equal">
      <formula>"Baja"</formula>
    </cfRule>
    <cfRule type="cellIs" dxfId="681" priority="1402" operator="equal">
      <formula>"Muy Baja"</formula>
    </cfRule>
  </conditionalFormatting>
  <conditionalFormatting sqref="U30:U31">
    <cfRule type="cellIs" dxfId="680" priority="1394" operator="equal">
      <formula>"Extremo"</formula>
    </cfRule>
    <cfRule type="cellIs" dxfId="679" priority="1395" operator="equal">
      <formula>"Alto"</formula>
    </cfRule>
    <cfRule type="cellIs" dxfId="678" priority="1396" operator="equal">
      <formula>"Moderado"</formula>
    </cfRule>
    <cfRule type="cellIs" dxfId="677" priority="1397" operator="equal">
      <formula>"Bajo"</formula>
    </cfRule>
  </conditionalFormatting>
  <conditionalFormatting sqref="R30">
    <cfRule type="containsText" dxfId="676" priority="1393" operator="containsText" text="❌">
      <formula>NOT(ISERROR(SEARCH("❌",R30)))</formula>
    </cfRule>
  </conditionalFormatting>
  <conditionalFormatting sqref="R31:R32">
    <cfRule type="containsText" dxfId="675" priority="1364" operator="containsText" text="❌">
      <formula>NOT(ISERROR(SEARCH("❌",R31)))</formula>
    </cfRule>
  </conditionalFormatting>
  <conditionalFormatting sqref="S40 S42">
    <cfRule type="cellIs" dxfId="674" priority="1345" operator="equal">
      <formula>"Catastrófico"</formula>
    </cfRule>
    <cfRule type="cellIs" dxfId="673" priority="1346" operator="equal">
      <formula>"Mayor"</formula>
    </cfRule>
    <cfRule type="cellIs" dxfId="672" priority="1347" operator="equal">
      <formula>"Moderado"</formula>
    </cfRule>
    <cfRule type="cellIs" dxfId="671" priority="1348" operator="equal">
      <formula>"Menor"</formula>
    </cfRule>
    <cfRule type="cellIs" dxfId="670" priority="1349" operator="equal">
      <formula>"Leve"</formula>
    </cfRule>
  </conditionalFormatting>
  <conditionalFormatting sqref="O40 O42">
    <cfRule type="cellIs" dxfId="669" priority="1340" operator="equal">
      <formula>"Muy Alta"</formula>
    </cfRule>
    <cfRule type="cellIs" dxfId="668" priority="1341" operator="equal">
      <formula>"Alta"</formula>
    </cfRule>
    <cfRule type="cellIs" dxfId="667" priority="1342" operator="equal">
      <formula>"Media"</formula>
    </cfRule>
    <cfRule type="cellIs" dxfId="666" priority="1343" operator="equal">
      <formula>"Baja"</formula>
    </cfRule>
    <cfRule type="cellIs" dxfId="665" priority="1344" operator="equal">
      <formula>"Muy Baja"</formula>
    </cfRule>
  </conditionalFormatting>
  <conditionalFormatting sqref="U40 U42">
    <cfRule type="cellIs" dxfId="664" priority="1336" operator="equal">
      <formula>"Extremo"</formula>
    </cfRule>
    <cfRule type="cellIs" dxfId="663" priority="1337" operator="equal">
      <formula>"Alto"</formula>
    </cfRule>
    <cfRule type="cellIs" dxfId="662" priority="1338" operator="equal">
      <formula>"Moderado"</formula>
    </cfRule>
    <cfRule type="cellIs" dxfId="661" priority="1339" operator="equal">
      <formula>"Bajo"</formula>
    </cfRule>
  </conditionalFormatting>
  <conditionalFormatting sqref="R40 R42">
    <cfRule type="containsText" dxfId="660" priority="1335" operator="containsText" text="❌">
      <formula>NOT(ISERROR(SEARCH("❌",R40)))</formula>
    </cfRule>
  </conditionalFormatting>
  <conditionalFormatting sqref="AF52">
    <cfRule type="cellIs" dxfId="659" priority="1255" operator="equal">
      <formula>"Muy Alta"</formula>
    </cfRule>
    <cfRule type="cellIs" dxfId="658" priority="1256" operator="equal">
      <formula>"Alta"</formula>
    </cfRule>
    <cfRule type="cellIs" dxfId="657" priority="1257" operator="equal">
      <formula>"Media"</formula>
    </cfRule>
    <cfRule type="cellIs" dxfId="656" priority="1258" operator="equal">
      <formula>"Baja"</formula>
    </cfRule>
    <cfRule type="cellIs" dxfId="655" priority="1259" operator="equal">
      <formula>"Muy Baja"</formula>
    </cfRule>
  </conditionalFormatting>
  <conditionalFormatting sqref="AH52">
    <cfRule type="cellIs" dxfId="654" priority="1250" operator="equal">
      <formula>"Catastrófico"</formula>
    </cfRule>
    <cfRule type="cellIs" dxfId="653" priority="1251" operator="equal">
      <formula>"Mayor"</formula>
    </cfRule>
    <cfRule type="cellIs" dxfId="652" priority="1252" operator="equal">
      <formula>"Moderado"</formula>
    </cfRule>
    <cfRule type="cellIs" dxfId="651" priority="1253" operator="equal">
      <formula>"Menor"</formula>
    </cfRule>
    <cfRule type="cellIs" dxfId="650" priority="1254" operator="equal">
      <formula>"Leve"</formula>
    </cfRule>
  </conditionalFormatting>
  <conditionalFormatting sqref="AJ52">
    <cfRule type="cellIs" dxfId="649" priority="1246" operator="equal">
      <formula>"Extremo"</formula>
    </cfRule>
    <cfRule type="cellIs" dxfId="648" priority="1247" operator="equal">
      <formula>"Alto"</formula>
    </cfRule>
    <cfRule type="cellIs" dxfId="647" priority="1248" operator="equal">
      <formula>"Moderado"</formula>
    </cfRule>
    <cfRule type="cellIs" dxfId="646" priority="1249" operator="equal">
      <formula>"Bajo"</formula>
    </cfRule>
  </conditionalFormatting>
  <conditionalFormatting sqref="AF56">
    <cfRule type="cellIs" dxfId="645" priority="1212" operator="equal">
      <formula>"Muy Alta"</formula>
    </cfRule>
    <cfRule type="cellIs" dxfId="644" priority="1213" operator="equal">
      <formula>"Alta"</formula>
    </cfRule>
    <cfRule type="cellIs" dxfId="643" priority="1214" operator="equal">
      <formula>"Media"</formula>
    </cfRule>
    <cfRule type="cellIs" dxfId="642" priority="1215" operator="equal">
      <formula>"Baja"</formula>
    </cfRule>
    <cfRule type="cellIs" dxfId="641" priority="1216" operator="equal">
      <formula>"Muy Baja"</formula>
    </cfRule>
  </conditionalFormatting>
  <conditionalFormatting sqref="AH56">
    <cfRule type="cellIs" dxfId="640" priority="1207" operator="equal">
      <formula>"Catastrófico"</formula>
    </cfRule>
    <cfRule type="cellIs" dxfId="639" priority="1208" operator="equal">
      <formula>"Mayor"</formula>
    </cfRule>
    <cfRule type="cellIs" dxfId="638" priority="1209" operator="equal">
      <formula>"Moderado"</formula>
    </cfRule>
    <cfRule type="cellIs" dxfId="637" priority="1210" operator="equal">
      <formula>"Menor"</formula>
    </cfRule>
    <cfRule type="cellIs" dxfId="636" priority="1211" operator="equal">
      <formula>"Leve"</formula>
    </cfRule>
  </conditionalFormatting>
  <conditionalFormatting sqref="AJ56">
    <cfRule type="cellIs" dxfId="635" priority="1203" operator="equal">
      <formula>"Extremo"</formula>
    </cfRule>
    <cfRule type="cellIs" dxfId="634" priority="1204" operator="equal">
      <formula>"Alto"</formula>
    </cfRule>
    <cfRule type="cellIs" dxfId="633" priority="1205" operator="equal">
      <formula>"Moderado"</formula>
    </cfRule>
    <cfRule type="cellIs" dxfId="632" priority="1206" operator="equal">
      <formula>"Bajo"</formula>
    </cfRule>
  </conditionalFormatting>
  <conditionalFormatting sqref="AF57">
    <cfRule type="cellIs" dxfId="631" priority="1198" operator="equal">
      <formula>"Muy Alta"</formula>
    </cfRule>
    <cfRule type="cellIs" dxfId="630" priority="1199" operator="equal">
      <formula>"Alta"</formula>
    </cfRule>
    <cfRule type="cellIs" dxfId="629" priority="1200" operator="equal">
      <formula>"Media"</formula>
    </cfRule>
    <cfRule type="cellIs" dxfId="628" priority="1201" operator="equal">
      <formula>"Baja"</formula>
    </cfRule>
    <cfRule type="cellIs" dxfId="627" priority="1202" operator="equal">
      <formula>"Muy Baja"</formula>
    </cfRule>
  </conditionalFormatting>
  <conditionalFormatting sqref="AH57">
    <cfRule type="cellIs" dxfId="626" priority="1193" operator="equal">
      <formula>"Catastrófico"</formula>
    </cfRule>
    <cfRule type="cellIs" dxfId="625" priority="1194" operator="equal">
      <formula>"Mayor"</formula>
    </cfRule>
    <cfRule type="cellIs" dxfId="624" priority="1195" operator="equal">
      <formula>"Moderado"</formula>
    </cfRule>
    <cfRule type="cellIs" dxfId="623" priority="1196" operator="equal">
      <formula>"Menor"</formula>
    </cfRule>
    <cfRule type="cellIs" dxfId="622" priority="1197" operator="equal">
      <formula>"Leve"</formula>
    </cfRule>
  </conditionalFormatting>
  <conditionalFormatting sqref="AJ57">
    <cfRule type="cellIs" dxfId="621" priority="1189" operator="equal">
      <formula>"Extremo"</formula>
    </cfRule>
    <cfRule type="cellIs" dxfId="620" priority="1190" operator="equal">
      <formula>"Alto"</formula>
    </cfRule>
    <cfRule type="cellIs" dxfId="619" priority="1191" operator="equal">
      <formula>"Moderado"</formula>
    </cfRule>
    <cfRule type="cellIs" dxfId="618" priority="1192" operator="equal">
      <formula>"Bajo"</formula>
    </cfRule>
  </conditionalFormatting>
  <conditionalFormatting sqref="AF58:AF62">
    <cfRule type="cellIs" dxfId="617" priority="1183" operator="equal">
      <formula>"Muy Alta"</formula>
    </cfRule>
    <cfRule type="cellIs" dxfId="616" priority="1184" operator="equal">
      <formula>"Alta"</formula>
    </cfRule>
    <cfRule type="cellIs" dxfId="615" priority="1185" operator="equal">
      <formula>"Media"</formula>
    </cfRule>
    <cfRule type="cellIs" dxfId="614" priority="1186" operator="equal">
      <formula>"Baja"</formula>
    </cfRule>
    <cfRule type="cellIs" dxfId="613" priority="1187" operator="equal">
      <formula>"Muy Baja"</formula>
    </cfRule>
  </conditionalFormatting>
  <conditionalFormatting sqref="AH58:AH62">
    <cfRule type="cellIs" dxfId="612" priority="1178" operator="equal">
      <formula>"Catastrófico"</formula>
    </cfRule>
    <cfRule type="cellIs" dxfId="611" priority="1179" operator="equal">
      <formula>"Mayor"</formula>
    </cfRule>
    <cfRule type="cellIs" dxfId="610" priority="1180" operator="equal">
      <formula>"Moderado"</formula>
    </cfRule>
    <cfRule type="cellIs" dxfId="609" priority="1181" operator="equal">
      <formula>"Menor"</formula>
    </cfRule>
    <cfRule type="cellIs" dxfId="608" priority="1182" operator="equal">
      <formula>"Leve"</formula>
    </cfRule>
  </conditionalFormatting>
  <conditionalFormatting sqref="AJ58:AJ62">
    <cfRule type="cellIs" dxfId="607" priority="1174" operator="equal">
      <formula>"Extremo"</formula>
    </cfRule>
    <cfRule type="cellIs" dxfId="606" priority="1175" operator="equal">
      <formula>"Alto"</formula>
    </cfRule>
    <cfRule type="cellIs" dxfId="605" priority="1176" operator="equal">
      <formula>"Moderado"</formula>
    </cfRule>
    <cfRule type="cellIs" dxfId="604" priority="1177" operator="equal">
      <formula>"Bajo"</formula>
    </cfRule>
  </conditionalFormatting>
  <conditionalFormatting sqref="AF63:AF66">
    <cfRule type="cellIs" dxfId="603" priority="1168" operator="equal">
      <formula>"Muy Alta"</formula>
    </cfRule>
    <cfRule type="cellIs" dxfId="602" priority="1169" operator="equal">
      <formula>"Alta"</formula>
    </cfRule>
    <cfRule type="cellIs" dxfId="601" priority="1170" operator="equal">
      <formula>"Media"</formula>
    </cfRule>
    <cfRule type="cellIs" dxfId="600" priority="1171" operator="equal">
      <formula>"Baja"</formula>
    </cfRule>
    <cfRule type="cellIs" dxfId="599" priority="1172" operator="equal">
      <formula>"Muy Baja"</formula>
    </cfRule>
  </conditionalFormatting>
  <conditionalFormatting sqref="AH63:AH66">
    <cfRule type="cellIs" dxfId="598" priority="1163" operator="equal">
      <formula>"Catastrófico"</formula>
    </cfRule>
    <cfRule type="cellIs" dxfId="597" priority="1164" operator="equal">
      <formula>"Mayor"</formula>
    </cfRule>
    <cfRule type="cellIs" dxfId="596" priority="1165" operator="equal">
      <formula>"Moderado"</formula>
    </cfRule>
    <cfRule type="cellIs" dxfId="595" priority="1166" operator="equal">
      <formula>"Menor"</formula>
    </cfRule>
    <cfRule type="cellIs" dxfId="594" priority="1167" operator="equal">
      <formula>"Leve"</formula>
    </cfRule>
  </conditionalFormatting>
  <conditionalFormatting sqref="AJ63:AJ66">
    <cfRule type="cellIs" dxfId="593" priority="1159" operator="equal">
      <formula>"Extremo"</formula>
    </cfRule>
    <cfRule type="cellIs" dxfId="592" priority="1160" operator="equal">
      <formula>"Alto"</formula>
    </cfRule>
    <cfRule type="cellIs" dxfId="591" priority="1161" operator="equal">
      <formula>"Moderado"</formula>
    </cfRule>
    <cfRule type="cellIs" dxfId="590" priority="1162" operator="equal">
      <formula>"Bajo"</formula>
    </cfRule>
  </conditionalFormatting>
  <conditionalFormatting sqref="S53">
    <cfRule type="cellIs" dxfId="589" priority="1064" operator="equal">
      <formula>"Catastrófico"</formula>
    </cfRule>
    <cfRule type="cellIs" dxfId="588" priority="1065" operator="equal">
      <formula>"Mayor"</formula>
    </cfRule>
    <cfRule type="cellIs" dxfId="587" priority="1066" operator="equal">
      <formula>"Moderado"</formula>
    </cfRule>
    <cfRule type="cellIs" dxfId="586" priority="1067" operator="equal">
      <formula>"Menor"</formula>
    </cfRule>
    <cfRule type="cellIs" dxfId="585" priority="1068" operator="equal">
      <formula>"Leve"</formula>
    </cfRule>
  </conditionalFormatting>
  <conditionalFormatting sqref="O53">
    <cfRule type="cellIs" dxfId="584" priority="1059" operator="equal">
      <formula>"Muy Alta"</formula>
    </cfRule>
    <cfRule type="cellIs" dxfId="583" priority="1060" operator="equal">
      <formula>"Alta"</formula>
    </cfRule>
    <cfRule type="cellIs" dxfId="582" priority="1061" operator="equal">
      <formula>"Media"</formula>
    </cfRule>
    <cfRule type="cellIs" dxfId="581" priority="1062" operator="equal">
      <formula>"Baja"</formula>
    </cfRule>
    <cfRule type="cellIs" dxfId="580" priority="1063" operator="equal">
      <formula>"Muy Baja"</formula>
    </cfRule>
  </conditionalFormatting>
  <conditionalFormatting sqref="U53">
    <cfRule type="cellIs" dxfId="579" priority="1055" operator="equal">
      <formula>"Extremo"</formula>
    </cfRule>
    <cfRule type="cellIs" dxfId="578" priority="1056" operator="equal">
      <formula>"Alto"</formula>
    </cfRule>
    <cfRule type="cellIs" dxfId="577" priority="1057" operator="equal">
      <formula>"Moderado"</formula>
    </cfRule>
    <cfRule type="cellIs" dxfId="576" priority="1058" operator="equal">
      <formula>"Bajo"</formula>
    </cfRule>
  </conditionalFormatting>
  <conditionalFormatting sqref="R53:R55">
    <cfRule type="containsText" dxfId="575" priority="1054" operator="containsText" text="❌">
      <formula>NOT(ISERROR(SEARCH("❌",R53)))</formula>
    </cfRule>
  </conditionalFormatting>
  <conditionalFormatting sqref="S46">
    <cfRule type="cellIs" dxfId="574" priority="959" operator="equal">
      <formula>"Catastrófico"</formula>
    </cfRule>
    <cfRule type="cellIs" dxfId="573" priority="960" operator="equal">
      <formula>"Mayor"</formula>
    </cfRule>
    <cfRule type="cellIs" dxfId="572" priority="961" operator="equal">
      <formula>"Moderado"</formula>
    </cfRule>
    <cfRule type="cellIs" dxfId="571" priority="962" operator="equal">
      <formula>"Menor"</formula>
    </cfRule>
    <cfRule type="cellIs" dxfId="570" priority="963" operator="equal">
      <formula>"Leve"</formula>
    </cfRule>
  </conditionalFormatting>
  <conditionalFormatting sqref="O46">
    <cfRule type="cellIs" dxfId="569" priority="954" operator="equal">
      <formula>"Muy Alta"</formula>
    </cfRule>
    <cfRule type="cellIs" dxfId="568" priority="955" operator="equal">
      <formula>"Alta"</formula>
    </cfRule>
    <cfRule type="cellIs" dxfId="567" priority="956" operator="equal">
      <formula>"Media"</formula>
    </cfRule>
    <cfRule type="cellIs" dxfId="566" priority="957" operator="equal">
      <formula>"Baja"</formula>
    </cfRule>
    <cfRule type="cellIs" dxfId="565" priority="958" operator="equal">
      <formula>"Muy Baja"</formula>
    </cfRule>
  </conditionalFormatting>
  <conditionalFormatting sqref="U46">
    <cfRule type="cellIs" dxfId="564" priority="950" operator="equal">
      <formula>"Extremo"</formula>
    </cfRule>
    <cfRule type="cellIs" dxfId="563" priority="951" operator="equal">
      <formula>"Alto"</formula>
    </cfRule>
    <cfRule type="cellIs" dxfId="562" priority="952" operator="equal">
      <formula>"Moderado"</formula>
    </cfRule>
    <cfRule type="cellIs" dxfId="561" priority="953" operator="equal">
      <formula>"Bajo"</formula>
    </cfRule>
  </conditionalFormatting>
  <conditionalFormatting sqref="R46">
    <cfRule type="containsText" dxfId="560" priority="949" operator="containsText" text="❌">
      <formula>NOT(ISERROR(SEARCH("❌",R46)))</formula>
    </cfRule>
  </conditionalFormatting>
  <conditionalFormatting sqref="AJ42:AJ45">
    <cfRule type="cellIs" dxfId="559" priority="907" operator="equal">
      <formula>"Extremo"</formula>
    </cfRule>
    <cfRule type="cellIs" dxfId="558" priority="908" operator="equal">
      <formula>"Alto"</formula>
    </cfRule>
    <cfRule type="cellIs" dxfId="557" priority="909" operator="equal">
      <formula>"Moderado"</formula>
    </cfRule>
    <cfRule type="cellIs" dxfId="556" priority="910" operator="equal">
      <formula>"Bajo"</formula>
    </cfRule>
  </conditionalFormatting>
  <conditionalFormatting sqref="AF42:AF45">
    <cfRule type="cellIs" dxfId="555" priority="916" operator="equal">
      <formula>"Muy Alta"</formula>
    </cfRule>
    <cfRule type="cellIs" dxfId="554" priority="917" operator="equal">
      <formula>"Alta"</formula>
    </cfRule>
    <cfRule type="cellIs" dxfId="553" priority="918" operator="equal">
      <formula>"Media"</formula>
    </cfRule>
    <cfRule type="cellIs" dxfId="552" priority="919" operator="equal">
      <formula>"Baja"</formula>
    </cfRule>
    <cfRule type="cellIs" dxfId="551" priority="920" operator="equal">
      <formula>"Muy Baja"</formula>
    </cfRule>
  </conditionalFormatting>
  <conditionalFormatting sqref="AH42:AH45">
    <cfRule type="cellIs" dxfId="550" priority="911" operator="equal">
      <formula>"Catastrófico"</formula>
    </cfRule>
    <cfRule type="cellIs" dxfId="549" priority="912" operator="equal">
      <formula>"Mayor"</formula>
    </cfRule>
    <cfRule type="cellIs" dxfId="548" priority="913" operator="equal">
      <formula>"Moderado"</formula>
    </cfRule>
    <cfRule type="cellIs" dxfId="547" priority="914" operator="equal">
      <formula>"Menor"</formula>
    </cfRule>
    <cfRule type="cellIs" dxfId="546" priority="915" operator="equal">
      <formula>"Leve"</formula>
    </cfRule>
  </conditionalFormatting>
  <conditionalFormatting sqref="AJ46">
    <cfRule type="cellIs" dxfId="545" priority="879" operator="equal">
      <formula>"Extremo"</formula>
    </cfRule>
    <cfRule type="cellIs" dxfId="544" priority="880" operator="equal">
      <formula>"Alto"</formula>
    </cfRule>
    <cfRule type="cellIs" dxfId="543" priority="881" operator="equal">
      <formula>"Moderado"</formula>
    </cfRule>
    <cfRule type="cellIs" dxfId="542" priority="882" operator="equal">
      <formula>"Bajo"</formula>
    </cfRule>
  </conditionalFormatting>
  <conditionalFormatting sqref="AF46">
    <cfRule type="cellIs" dxfId="541" priority="888" operator="equal">
      <formula>"Muy Alta"</formula>
    </cfRule>
    <cfRule type="cellIs" dxfId="540" priority="889" operator="equal">
      <formula>"Alta"</formula>
    </cfRule>
    <cfRule type="cellIs" dxfId="539" priority="890" operator="equal">
      <formula>"Media"</formula>
    </cfRule>
    <cfRule type="cellIs" dxfId="538" priority="891" operator="equal">
      <formula>"Baja"</formula>
    </cfRule>
    <cfRule type="cellIs" dxfId="537" priority="892" operator="equal">
      <formula>"Muy Baja"</formula>
    </cfRule>
  </conditionalFormatting>
  <conditionalFormatting sqref="AH46">
    <cfRule type="cellIs" dxfId="536" priority="883" operator="equal">
      <formula>"Catastrófico"</formula>
    </cfRule>
    <cfRule type="cellIs" dxfId="535" priority="884" operator="equal">
      <formula>"Mayor"</formula>
    </cfRule>
    <cfRule type="cellIs" dxfId="534" priority="885" operator="equal">
      <formula>"Moderado"</formula>
    </cfRule>
    <cfRule type="cellIs" dxfId="533" priority="886" operator="equal">
      <formula>"Menor"</formula>
    </cfRule>
    <cfRule type="cellIs" dxfId="532" priority="887" operator="equal">
      <formula>"Leve"</formula>
    </cfRule>
  </conditionalFormatting>
  <conditionalFormatting sqref="O63:O65">
    <cfRule type="cellIs" dxfId="531" priority="874" operator="equal">
      <formula>"Muy Alta"</formula>
    </cfRule>
    <cfRule type="cellIs" dxfId="530" priority="875" operator="equal">
      <formula>"Alta"</formula>
    </cfRule>
    <cfRule type="cellIs" dxfId="529" priority="876" operator="equal">
      <formula>"Media"</formula>
    </cfRule>
    <cfRule type="cellIs" dxfId="528" priority="877" operator="equal">
      <formula>"Baja"</formula>
    </cfRule>
    <cfRule type="cellIs" dxfId="527" priority="878" operator="equal">
      <formula>"Muy Baja"</formula>
    </cfRule>
  </conditionalFormatting>
  <conditionalFormatting sqref="S63:S65">
    <cfRule type="cellIs" dxfId="526" priority="869" operator="equal">
      <formula>"Catastrófico"</formula>
    </cfRule>
    <cfRule type="cellIs" dxfId="525" priority="870" operator="equal">
      <formula>"Mayor"</formula>
    </cfRule>
    <cfRule type="cellIs" dxfId="524" priority="871" operator="equal">
      <formula>"Moderado"</formula>
    </cfRule>
    <cfRule type="cellIs" dxfId="523" priority="872" operator="equal">
      <formula>"Menor"</formula>
    </cfRule>
    <cfRule type="cellIs" dxfId="522" priority="873" operator="equal">
      <formula>"Leve"</formula>
    </cfRule>
  </conditionalFormatting>
  <conditionalFormatting sqref="U63:U65">
    <cfRule type="cellIs" dxfId="521" priority="865" operator="equal">
      <formula>"Extremo"</formula>
    </cfRule>
    <cfRule type="cellIs" dxfId="520" priority="866" operator="equal">
      <formula>"Alto"</formula>
    </cfRule>
    <cfRule type="cellIs" dxfId="519" priority="867" operator="equal">
      <formula>"Moderado"</formula>
    </cfRule>
    <cfRule type="cellIs" dxfId="518" priority="868" operator="equal">
      <formula>"Bajo"</formula>
    </cfRule>
  </conditionalFormatting>
  <conditionalFormatting sqref="R63:R65">
    <cfRule type="containsText" dxfId="517" priority="864" operator="containsText" text="❌">
      <formula>NOT(ISERROR(SEARCH("❌",R63)))</formula>
    </cfRule>
  </conditionalFormatting>
  <conditionalFormatting sqref="S24">
    <cfRule type="cellIs" dxfId="516" priority="844" operator="equal">
      <formula>"Catastrófico"</formula>
    </cfRule>
    <cfRule type="cellIs" dxfId="515" priority="845" operator="equal">
      <formula>"Mayor"</formula>
    </cfRule>
    <cfRule type="cellIs" dxfId="514" priority="846" operator="equal">
      <formula>"Moderado"</formula>
    </cfRule>
    <cfRule type="cellIs" dxfId="513" priority="847" operator="equal">
      <formula>"Menor"</formula>
    </cfRule>
    <cfRule type="cellIs" dxfId="512" priority="848" operator="equal">
      <formula>"Leve"</formula>
    </cfRule>
  </conditionalFormatting>
  <conditionalFormatting sqref="O24">
    <cfRule type="cellIs" dxfId="511" priority="839" operator="equal">
      <formula>"Muy Alta"</formula>
    </cfRule>
    <cfRule type="cellIs" dxfId="510" priority="840" operator="equal">
      <formula>"Alta"</formula>
    </cfRule>
    <cfRule type="cellIs" dxfId="509" priority="841" operator="equal">
      <formula>"Media"</formula>
    </cfRule>
    <cfRule type="cellIs" dxfId="508" priority="842" operator="equal">
      <formula>"Baja"</formula>
    </cfRule>
    <cfRule type="cellIs" dxfId="507" priority="843" operator="equal">
      <formula>"Muy Baja"</formula>
    </cfRule>
  </conditionalFormatting>
  <conditionalFormatting sqref="U24">
    <cfRule type="cellIs" dxfId="506" priority="835" operator="equal">
      <formula>"Extremo"</formula>
    </cfRule>
    <cfRule type="cellIs" dxfId="505" priority="836" operator="equal">
      <formula>"Alto"</formula>
    </cfRule>
    <cfRule type="cellIs" dxfId="504" priority="837" operator="equal">
      <formula>"Moderado"</formula>
    </cfRule>
    <cfRule type="cellIs" dxfId="503" priority="838" operator="equal">
      <formula>"Bajo"</formula>
    </cfRule>
  </conditionalFormatting>
  <conditionalFormatting sqref="R24">
    <cfRule type="containsText" dxfId="502" priority="834" operator="containsText" text="❌">
      <formula>NOT(ISERROR(SEARCH("❌",R24)))</formula>
    </cfRule>
  </conditionalFormatting>
  <conditionalFormatting sqref="S27">
    <cfRule type="cellIs" dxfId="501" priority="829" operator="equal">
      <formula>"Catastrófico"</formula>
    </cfRule>
    <cfRule type="cellIs" dxfId="500" priority="830" operator="equal">
      <formula>"Mayor"</formula>
    </cfRule>
    <cfRule type="cellIs" dxfId="499" priority="831" operator="equal">
      <formula>"Moderado"</formula>
    </cfRule>
    <cfRule type="cellIs" dxfId="498" priority="832" operator="equal">
      <formula>"Menor"</formula>
    </cfRule>
    <cfRule type="cellIs" dxfId="497" priority="833" operator="equal">
      <formula>"Leve"</formula>
    </cfRule>
  </conditionalFormatting>
  <conditionalFormatting sqref="O27">
    <cfRule type="cellIs" dxfId="496" priority="824" operator="equal">
      <formula>"Muy Alta"</formula>
    </cfRule>
    <cfRule type="cellIs" dxfId="495" priority="825" operator="equal">
      <formula>"Alta"</formula>
    </cfRule>
    <cfRule type="cellIs" dxfId="494" priority="826" operator="equal">
      <formula>"Media"</formula>
    </cfRule>
    <cfRule type="cellIs" dxfId="493" priority="827" operator="equal">
      <formula>"Baja"</formula>
    </cfRule>
    <cfRule type="cellIs" dxfId="492" priority="828" operator="equal">
      <formula>"Muy Baja"</formula>
    </cfRule>
  </conditionalFormatting>
  <conditionalFormatting sqref="U27">
    <cfRule type="cellIs" dxfId="491" priority="820" operator="equal">
      <formula>"Extremo"</formula>
    </cfRule>
    <cfRule type="cellIs" dxfId="490" priority="821" operator="equal">
      <formula>"Alto"</formula>
    </cfRule>
    <cfRule type="cellIs" dxfId="489" priority="822" operator="equal">
      <formula>"Moderado"</formula>
    </cfRule>
    <cfRule type="cellIs" dxfId="488" priority="823" operator="equal">
      <formula>"Bajo"</formula>
    </cfRule>
  </conditionalFormatting>
  <conditionalFormatting sqref="O16">
    <cfRule type="cellIs" dxfId="487" priority="769" operator="equal">
      <formula>"Muy Alta"</formula>
    </cfRule>
    <cfRule type="cellIs" dxfId="486" priority="770" operator="equal">
      <formula>"Alta"</formula>
    </cfRule>
    <cfRule type="cellIs" dxfId="485" priority="771" operator="equal">
      <formula>"Media"</formula>
    </cfRule>
    <cfRule type="cellIs" dxfId="484" priority="772" operator="equal">
      <formula>"Baja"</formula>
    </cfRule>
    <cfRule type="cellIs" dxfId="483" priority="773" operator="equal">
      <formula>"Muy Baja"</formula>
    </cfRule>
  </conditionalFormatting>
  <conditionalFormatting sqref="S16">
    <cfRule type="cellIs" dxfId="482" priority="764" operator="equal">
      <formula>"Catastrófico"</formula>
    </cfRule>
    <cfRule type="cellIs" dxfId="481" priority="765" operator="equal">
      <formula>"Mayor"</formula>
    </cfRule>
    <cfRule type="cellIs" dxfId="480" priority="766" operator="equal">
      <formula>"Moderado"</formula>
    </cfRule>
    <cfRule type="cellIs" dxfId="479" priority="767" operator="equal">
      <formula>"Menor"</formula>
    </cfRule>
    <cfRule type="cellIs" dxfId="478" priority="768" operator="equal">
      <formula>"Leve"</formula>
    </cfRule>
  </conditionalFormatting>
  <conditionalFormatting sqref="U16">
    <cfRule type="cellIs" dxfId="477" priority="760" operator="equal">
      <formula>"Extremo"</formula>
    </cfRule>
    <cfRule type="cellIs" dxfId="476" priority="761" operator="equal">
      <formula>"Alto"</formula>
    </cfRule>
    <cfRule type="cellIs" dxfId="475" priority="762" operator="equal">
      <formula>"Moderado"</formula>
    </cfRule>
    <cfRule type="cellIs" dxfId="474" priority="763" operator="equal">
      <formula>"Bajo"</formula>
    </cfRule>
  </conditionalFormatting>
  <conditionalFormatting sqref="R16">
    <cfRule type="containsText" dxfId="473" priority="759" operator="containsText" text="❌">
      <formula>NOT(ISERROR(SEARCH("❌",R16)))</formula>
    </cfRule>
  </conditionalFormatting>
  <conditionalFormatting sqref="S17">
    <cfRule type="cellIs" dxfId="472" priority="754" operator="equal">
      <formula>"Catastrófico"</formula>
    </cfRule>
    <cfRule type="cellIs" dxfId="471" priority="755" operator="equal">
      <formula>"Mayor"</formula>
    </cfRule>
    <cfRule type="cellIs" dxfId="470" priority="756" operator="equal">
      <formula>"Moderado"</formula>
    </cfRule>
    <cfRule type="cellIs" dxfId="469" priority="757" operator="equal">
      <formula>"Menor"</formula>
    </cfRule>
    <cfRule type="cellIs" dxfId="468" priority="758" operator="equal">
      <formula>"Leve"</formula>
    </cfRule>
  </conditionalFormatting>
  <conditionalFormatting sqref="O17">
    <cfRule type="cellIs" dxfId="467" priority="749" operator="equal">
      <formula>"Muy Alta"</formula>
    </cfRule>
    <cfRule type="cellIs" dxfId="466" priority="750" operator="equal">
      <formula>"Alta"</formula>
    </cfRule>
    <cfRule type="cellIs" dxfId="465" priority="751" operator="equal">
      <formula>"Media"</formula>
    </cfRule>
    <cfRule type="cellIs" dxfId="464" priority="752" operator="equal">
      <formula>"Baja"</formula>
    </cfRule>
    <cfRule type="cellIs" dxfId="463" priority="753" operator="equal">
      <formula>"Muy Baja"</formula>
    </cfRule>
  </conditionalFormatting>
  <conditionalFormatting sqref="U17">
    <cfRule type="cellIs" dxfId="462" priority="745" operator="equal">
      <formula>"Extremo"</formula>
    </cfRule>
    <cfRule type="cellIs" dxfId="461" priority="746" operator="equal">
      <formula>"Alto"</formula>
    </cfRule>
    <cfRule type="cellIs" dxfId="460" priority="747" operator="equal">
      <formula>"Moderado"</formula>
    </cfRule>
    <cfRule type="cellIs" dxfId="459" priority="748" operator="equal">
      <formula>"Bajo"</formula>
    </cfRule>
  </conditionalFormatting>
  <conditionalFormatting sqref="R17">
    <cfRule type="containsText" dxfId="458" priority="744" operator="containsText" text="❌">
      <formula>NOT(ISERROR(SEARCH("❌",R17)))</formula>
    </cfRule>
  </conditionalFormatting>
  <conditionalFormatting sqref="O59">
    <cfRule type="cellIs" dxfId="457" priority="739" operator="equal">
      <formula>"Muy Alta"</formula>
    </cfRule>
    <cfRule type="cellIs" dxfId="456" priority="740" operator="equal">
      <formula>"Alta"</formula>
    </cfRule>
    <cfRule type="cellIs" dxfId="455" priority="741" operator="equal">
      <formula>"Media"</formula>
    </cfRule>
    <cfRule type="cellIs" dxfId="454" priority="742" operator="equal">
      <formula>"Baja"</formula>
    </cfRule>
    <cfRule type="cellIs" dxfId="453" priority="743" operator="equal">
      <formula>"Muy Baja"</formula>
    </cfRule>
  </conditionalFormatting>
  <conditionalFormatting sqref="S59">
    <cfRule type="cellIs" dxfId="452" priority="734" operator="equal">
      <formula>"Catastrófico"</formula>
    </cfRule>
    <cfRule type="cellIs" dxfId="451" priority="735" operator="equal">
      <formula>"Mayor"</formula>
    </cfRule>
    <cfRule type="cellIs" dxfId="450" priority="736" operator="equal">
      <formula>"Moderado"</formula>
    </cfRule>
    <cfRule type="cellIs" dxfId="449" priority="737" operator="equal">
      <formula>"Menor"</formula>
    </cfRule>
    <cfRule type="cellIs" dxfId="448" priority="738" operator="equal">
      <formula>"Leve"</formula>
    </cfRule>
  </conditionalFormatting>
  <conditionalFormatting sqref="U59">
    <cfRule type="cellIs" dxfId="447" priority="730" operator="equal">
      <formula>"Extremo"</formula>
    </cfRule>
    <cfRule type="cellIs" dxfId="446" priority="731" operator="equal">
      <formula>"Alto"</formula>
    </cfRule>
    <cfRule type="cellIs" dxfId="445" priority="732" operator="equal">
      <formula>"Moderado"</formula>
    </cfRule>
    <cfRule type="cellIs" dxfId="444" priority="733" operator="equal">
      <formula>"Bajo"</formula>
    </cfRule>
  </conditionalFormatting>
  <conditionalFormatting sqref="R59">
    <cfRule type="containsText" dxfId="443" priority="729" operator="containsText" text="❌">
      <formula>NOT(ISERROR(SEARCH("❌",R59)))</formula>
    </cfRule>
  </conditionalFormatting>
  <conditionalFormatting sqref="S60">
    <cfRule type="cellIs" dxfId="442" priority="724" operator="equal">
      <formula>"Catastrófico"</formula>
    </cfRule>
    <cfRule type="cellIs" dxfId="441" priority="725" operator="equal">
      <formula>"Mayor"</formula>
    </cfRule>
    <cfRule type="cellIs" dxfId="440" priority="726" operator="equal">
      <formula>"Moderado"</formula>
    </cfRule>
    <cfRule type="cellIs" dxfId="439" priority="727" operator="equal">
      <formula>"Menor"</formula>
    </cfRule>
    <cfRule type="cellIs" dxfId="438" priority="728" operator="equal">
      <formula>"Leve"</formula>
    </cfRule>
  </conditionalFormatting>
  <conditionalFormatting sqref="O60">
    <cfRule type="cellIs" dxfId="437" priority="719" operator="equal">
      <formula>"Muy Alta"</formula>
    </cfRule>
    <cfRule type="cellIs" dxfId="436" priority="720" operator="equal">
      <formula>"Alta"</formula>
    </cfRule>
    <cfRule type="cellIs" dxfId="435" priority="721" operator="equal">
      <formula>"Media"</formula>
    </cfRule>
    <cfRule type="cellIs" dxfId="434" priority="722" operator="equal">
      <formula>"Baja"</formula>
    </cfRule>
    <cfRule type="cellIs" dxfId="433" priority="723" operator="equal">
      <formula>"Muy Baja"</formula>
    </cfRule>
  </conditionalFormatting>
  <conditionalFormatting sqref="U60">
    <cfRule type="cellIs" dxfId="432" priority="715" operator="equal">
      <formula>"Extremo"</formula>
    </cfRule>
    <cfRule type="cellIs" dxfId="431" priority="716" operator="equal">
      <formula>"Alto"</formula>
    </cfRule>
    <cfRule type="cellIs" dxfId="430" priority="717" operator="equal">
      <formula>"Moderado"</formula>
    </cfRule>
    <cfRule type="cellIs" dxfId="429" priority="718" operator="equal">
      <formula>"Bajo"</formula>
    </cfRule>
  </conditionalFormatting>
  <conditionalFormatting sqref="R60">
    <cfRule type="containsText" dxfId="428" priority="714" operator="containsText" text="❌">
      <formula>NOT(ISERROR(SEARCH("❌",R60)))</formula>
    </cfRule>
  </conditionalFormatting>
  <conditionalFormatting sqref="S56">
    <cfRule type="cellIs" dxfId="427" priority="695" operator="equal">
      <formula>"Catastrófico"</formula>
    </cfRule>
    <cfRule type="cellIs" dxfId="426" priority="696" operator="equal">
      <formula>"Mayor"</formula>
    </cfRule>
    <cfRule type="cellIs" dxfId="425" priority="697" operator="equal">
      <formula>"Moderado"</formula>
    </cfRule>
    <cfRule type="cellIs" dxfId="424" priority="698" operator="equal">
      <formula>"Menor"</formula>
    </cfRule>
    <cfRule type="cellIs" dxfId="423" priority="699" operator="equal">
      <formula>"Leve"</formula>
    </cfRule>
  </conditionalFormatting>
  <conditionalFormatting sqref="O56">
    <cfRule type="cellIs" dxfId="422" priority="690" operator="equal">
      <formula>"Muy Alta"</formula>
    </cfRule>
    <cfRule type="cellIs" dxfId="421" priority="691" operator="equal">
      <formula>"Alta"</formula>
    </cfRule>
    <cfRule type="cellIs" dxfId="420" priority="692" operator="equal">
      <formula>"Media"</formula>
    </cfRule>
    <cfRule type="cellIs" dxfId="419" priority="693" operator="equal">
      <formula>"Baja"</formula>
    </cfRule>
    <cfRule type="cellIs" dxfId="418" priority="694" operator="equal">
      <formula>"Muy Baja"</formula>
    </cfRule>
  </conditionalFormatting>
  <conditionalFormatting sqref="U56">
    <cfRule type="cellIs" dxfId="417" priority="686" operator="equal">
      <formula>"Extremo"</formula>
    </cfRule>
    <cfRule type="cellIs" dxfId="416" priority="687" operator="equal">
      <formula>"Alto"</formula>
    </cfRule>
    <cfRule type="cellIs" dxfId="415" priority="688" operator="equal">
      <formula>"Moderado"</formula>
    </cfRule>
    <cfRule type="cellIs" dxfId="414" priority="689" operator="equal">
      <formula>"Bajo"</formula>
    </cfRule>
  </conditionalFormatting>
  <conditionalFormatting sqref="R56:R57">
    <cfRule type="containsText" dxfId="413" priority="685" operator="containsText" text="❌">
      <formula>NOT(ISERROR(SEARCH("❌",R56)))</formula>
    </cfRule>
  </conditionalFormatting>
  <conditionalFormatting sqref="AF23">
    <cfRule type="cellIs" dxfId="412" priority="638" operator="equal">
      <formula>"Muy Alta"</formula>
    </cfRule>
    <cfRule type="cellIs" dxfId="411" priority="639" operator="equal">
      <formula>"Alta"</formula>
    </cfRule>
    <cfRule type="cellIs" dxfId="410" priority="640" operator="equal">
      <formula>"Media"</formula>
    </cfRule>
    <cfRule type="cellIs" dxfId="409" priority="641" operator="equal">
      <formula>"Baja"</formula>
    </cfRule>
    <cfRule type="cellIs" dxfId="408" priority="642" operator="equal">
      <formula>"Muy Baja"</formula>
    </cfRule>
  </conditionalFormatting>
  <conditionalFormatting sqref="AH23">
    <cfRule type="cellIs" dxfId="407" priority="633" operator="equal">
      <formula>"Catastrófico"</formula>
    </cfRule>
    <cfRule type="cellIs" dxfId="406" priority="634" operator="equal">
      <formula>"Mayor"</formula>
    </cfRule>
    <cfRule type="cellIs" dxfId="405" priority="635" operator="equal">
      <formula>"Moderado"</formula>
    </cfRule>
    <cfRule type="cellIs" dxfId="404" priority="636" operator="equal">
      <formula>"Menor"</formula>
    </cfRule>
    <cfRule type="cellIs" dxfId="403" priority="637" operator="equal">
      <formula>"Leve"</formula>
    </cfRule>
  </conditionalFormatting>
  <conditionalFormatting sqref="AJ23">
    <cfRule type="cellIs" dxfId="402" priority="629" operator="equal">
      <formula>"Extremo"</formula>
    </cfRule>
    <cfRule type="cellIs" dxfId="401" priority="630" operator="equal">
      <formula>"Alto"</formula>
    </cfRule>
    <cfRule type="cellIs" dxfId="400" priority="631" operator="equal">
      <formula>"Moderado"</formula>
    </cfRule>
    <cfRule type="cellIs" dxfId="399" priority="632" operator="equal">
      <formula>"Bajo"</formula>
    </cfRule>
  </conditionalFormatting>
  <conditionalFormatting sqref="S49">
    <cfRule type="cellIs" dxfId="398" priority="624" operator="equal">
      <formula>"Catastrófico"</formula>
    </cfRule>
    <cfRule type="cellIs" dxfId="397" priority="625" operator="equal">
      <formula>"Mayor"</formula>
    </cfRule>
    <cfRule type="cellIs" dxfId="396" priority="626" operator="equal">
      <formula>"Moderado"</formula>
    </cfRule>
    <cfRule type="cellIs" dxfId="395" priority="627" operator="equal">
      <formula>"Menor"</formula>
    </cfRule>
    <cfRule type="cellIs" dxfId="394" priority="628" operator="equal">
      <formula>"Leve"</formula>
    </cfRule>
  </conditionalFormatting>
  <conditionalFormatting sqref="O49">
    <cfRule type="cellIs" dxfId="393" priority="619" operator="equal">
      <formula>"Muy Alta"</formula>
    </cfRule>
    <cfRule type="cellIs" dxfId="392" priority="620" operator="equal">
      <formula>"Alta"</formula>
    </cfRule>
    <cfRule type="cellIs" dxfId="391" priority="621" operator="equal">
      <formula>"Media"</formula>
    </cfRule>
    <cfRule type="cellIs" dxfId="390" priority="622" operator="equal">
      <formula>"Baja"</formula>
    </cfRule>
    <cfRule type="cellIs" dxfId="389" priority="623" operator="equal">
      <formula>"Muy Baja"</formula>
    </cfRule>
  </conditionalFormatting>
  <conditionalFormatting sqref="U49">
    <cfRule type="cellIs" dxfId="388" priority="615" operator="equal">
      <formula>"Extremo"</formula>
    </cfRule>
    <cfRule type="cellIs" dxfId="387" priority="616" operator="equal">
      <formula>"Alto"</formula>
    </cfRule>
    <cfRule type="cellIs" dxfId="386" priority="617" operator="equal">
      <formula>"Moderado"</formula>
    </cfRule>
    <cfRule type="cellIs" dxfId="385" priority="618" operator="equal">
      <formula>"Bajo"</formula>
    </cfRule>
  </conditionalFormatting>
  <conditionalFormatting sqref="R49">
    <cfRule type="containsText" dxfId="384" priority="614" operator="containsText" text="❌">
      <formula>NOT(ISERROR(SEARCH("❌",R49)))</formula>
    </cfRule>
  </conditionalFormatting>
  <conditionalFormatting sqref="S50">
    <cfRule type="cellIs" dxfId="383" priority="609" operator="equal">
      <formula>"Catastrófico"</formula>
    </cfRule>
    <cfRule type="cellIs" dxfId="382" priority="610" operator="equal">
      <formula>"Mayor"</formula>
    </cfRule>
    <cfRule type="cellIs" dxfId="381" priority="611" operator="equal">
      <formula>"Moderado"</formula>
    </cfRule>
    <cfRule type="cellIs" dxfId="380" priority="612" operator="equal">
      <formula>"Menor"</formula>
    </cfRule>
    <cfRule type="cellIs" dxfId="379" priority="613" operator="equal">
      <formula>"Leve"</formula>
    </cfRule>
  </conditionalFormatting>
  <conditionalFormatting sqref="O50">
    <cfRule type="cellIs" dxfId="378" priority="604" operator="equal">
      <formula>"Muy Alta"</formula>
    </cfRule>
    <cfRule type="cellIs" dxfId="377" priority="605" operator="equal">
      <formula>"Alta"</formula>
    </cfRule>
    <cfRule type="cellIs" dxfId="376" priority="606" operator="equal">
      <formula>"Media"</formula>
    </cfRule>
    <cfRule type="cellIs" dxfId="375" priority="607" operator="equal">
      <formula>"Baja"</formula>
    </cfRule>
    <cfRule type="cellIs" dxfId="374" priority="608" operator="equal">
      <formula>"Muy Baja"</formula>
    </cfRule>
  </conditionalFormatting>
  <conditionalFormatting sqref="U50">
    <cfRule type="cellIs" dxfId="373" priority="600" operator="equal">
      <formula>"Extremo"</formula>
    </cfRule>
    <cfRule type="cellIs" dxfId="372" priority="601" operator="equal">
      <formula>"Alto"</formula>
    </cfRule>
    <cfRule type="cellIs" dxfId="371" priority="602" operator="equal">
      <formula>"Moderado"</formula>
    </cfRule>
    <cfRule type="cellIs" dxfId="370" priority="603" operator="equal">
      <formula>"Bajo"</formula>
    </cfRule>
  </conditionalFormatting>
  <conditionalFormatting sqref="R50">
    <cfRule type="containsText" dxfId="369" priority="599" operator="containsText" text="❌">
      <formula>NOT(ISERROR(SEARCH("❌",R50)))</formula>
    </cfRule>
  </conditionalFormatting>
  <conditionalFormatting sqref="O52">
    <cfRule type="cellIs" dxfId="368" priority="594" operator="equal">
      <formula>"Muy Alta"</formula>
    </cfRule>
    <cfRule type="cellIs" dxfId="367" priority="595" operator="equal">
      <formula>"Alta"</formula>
    </cfRule>
    <cfRule type="cellIs" dxfId="366" priority="596" operator="equal">
      <formula>"Media"</formula>
    </cfRule>
    <cfRule type="cellIs" dxfId="365" priority="597" operator="equal">
      <formula>"Baja"</formula>
    </cfRule>
    <cfRule type="cellIs" dxfId="364" priority="598" operator="equal">
      <formula>"Muy Baja"</formula>
    </cfRule>
  </conditionalFormatting>
  <conditionalFormatting sqref="S52">
    <cfRule type="cellIs" dxfId="363" priority="589" operator="equal">
      <formula>"Catastrófico"</formula>
    </cfRule>
    <cfRule type="cellIs" dxfId="362" priority="590" operator="equal">
      <formula>"Mayor"</formula>
    </cfRule>
    <cfRule type="cellIs" dxfId="361" priority="591" operator="equal">
      <formula>"Moderado"</formula>
    </cfRule>
    <cfRule type="cellIs" dxfId="360" priority="592" operator="equal">
      <formula>"Menor"</formula>
    </cfRule>
    <cfRule type="cellIs" dxfId="359" priority="593" operator="equal">
      <formula>"Leve"</formula>
    </cfRule>
  </conditionalFormatting>
  <conditionalFormatting sqref="U52">
    <cfRule type="cellIs" dxfId="358" priority="585" operator="equal">
      <formula>"Extremo"</formula>
    </cfRule>
    <cfRule type="cellIs" dxfId="357" priority="586" operator="equal">
      <formula>"Alto"</formula>
    </cfRule>
    <cfRule type="cellIs" dxfId="356" priority="587" operator="equal">
      <formula>"Moderado"</formula>
    </cfRule>
    <cfRule type="cellIs" dxfId="355" priority="588" operator="equal">
      <formula>"Bajo"</formula>
    </cfRule>
  </conditionalFormatting>
  <conditionalFormatting sqref="R52">
    <cfRule type="containsText" dxfId="354" priority="584" operator="containsText" text="❌">
      <formula>NOT(ISERROR(SEARCH("❌",R52)))</formula>
    </cfRule>
  </conditionalFormatting>
  <conditionalFormatting sqref="S48">
    <cfRule type="cellIs" dxfId="353" priority="579" operator="equal">
      <formula>"Catastrófico"</formula>
    </cfRule>
    <cfRule type="cellIs" dxfId="352" priority="580" operator="equal">
      <formula>"Mayor"</formula>
    </cfRule>
    <cfRule type="cellIs" dxfId="351" priority="581" operator="equal">
      <formula>"Moderado"</formula>
    </cfRule>
    <cfRule type="cellIs" dxfId="350" priority="582" operator="equal">
      <formula>"Menor"</formula>
    </cfRule>
    <cfRule type="cellIs" dxfId="349" priority="583" operator="equal">
      <formula>"Leve"</formula>
    </cfRule>
  </conditionalFormatting>
  <conditionalFormatting sqref="O48">
    <cfRule type="cellIs" dxfId="348" priority="574" operator="equal">
      <formula>"Muy Alta"</formula>
    </cfRule>
    <cfRule type="cellIs" dxfId="347" priority="575" operator="equal">
      <formula>"Alta"</formula>
    </cfRule>
    <cfRule type="cellIs" dxfId="346" priority="576" operator="equal">
      <formula>"Media"</formula>
    </cfRule>
    <cfRule type="cellIs" dxfId="345" priority="577" operator="equal">
      <formula>"Baja"</formula>
    </cfRule>
    <cfRule type="cellIs" dxfId="344" priority="578" operator="equal">
      <formula>"Muy Baja"</formula>
    </cfRule>
  </conditionalFormatting>
  <conditionalFormatting sqref="U48">
    <cfRule type="cellIs" dxfId="343" priority="570" operator="equal">
      <formula>"Extremo"</formula>
    </cfRule>
    <cfRule type="cellIs" dxfId="342" priority="571" operator="equal">
      <formula>"Alto"</formula>
    </cfRule>
    <cfRule type="cellIs" dxfId="341" priority="572" operator="equal">
      <formula>"Moderado"</formula>
    </cfRule>
    <cfRule type="cellIs" dxfId="340" priority="573" operator="equal">
      <formula>"Bajo"</formula>
    </cfRule>
  </conditionalFormatting>
  <conditionalFormatting sqref="R48">
    <cfRule type="containsText" dxfId="339" priority="569" operator="containsText" text="❌">
      <formula>NOT(ISERROR(SEARCH("❌",R48)))</formula>
    </cfRule>
  </conditionalFormatting>
  <conditionalFormatting sqref="O58">
    <cfRule type="cellIs" dxfId="338" priority="564" operator="equal">
      <formula>"Muy Alta"</formula>
    </cfRule>
    <cfRule type="cellIs" dxfId="337" priority="565" operator="equal">
      <formula>"Alta"</formula>
    </cfRule>
    <cfRule type="cellIs" dxfId="336" priority="566" operator="equal">
      <formula>"Media"</formula>
    </cfRule>
    <cfRule type="cellIs" dxfId="335" priority="567" operator="equal">
      <formula>"Baja"</formula>
    </cfRule>
    <cfRule type="cellIs" dxfId="334" priority="568" operator="equal">
      <formula>"Muy Baja"</formula>
    </cfRule>
  </conditionalFormatting>
  <conditionalFormatting sqref="S58">
    <cfRule type="cellIs" dxfId="333" priority="559" operator="equal">
      <formula>"Catastrófico"</formula>
    </cfRule>
    <cfRule type="cellIs" dxfId="332" priority="560" operator="equal">
      <formula>"Mayor"</formula>
    </cfRule>
    <cfRule type="cellIs" dxfId="331" priority="561" operator="equal">
      <formula>"Moderado"</formula>
    </cfRule>
    <cfRule type="cellIs" dxfId="330" priority="562" operator="equal">
      <formula>"Menor"</formula>
    </cfRule>
    <cfRule type="cellIs" dxfId="329" priority="563" operator="equal">
      <formula>"Leve"</formula>
    </cfRule>
  </conditionalFormatting>
  <conditionalFormatting sqref="U58">
    <cfRule type="cellIs" dxfId="328" priority="555" operator="equal">
      <formula>"Extremo"</formula>
    </cfRule>
    <cfRule type="cellIs" dxfId="327" priority="556" operator="equal">
      <formula>"Alto"</formula>
    </cfRule>
    <cfRule type="cellIs" dxfId="326" priority="557" operator="equal">
      <formula>"Moderado"</formula>
    </cfRule>
    <cfRule type="cellIs" dxfId="325" priority="558" operator="equal">
      <formula>"Bajo"</formula>
    </cfRule>
  </conditionalFormatting>
  <conditionalFormatting sqref="R58">
    <cfRule type="containsText" dxfId="324" priority="554" operator="containsText" text="❌">
      <formula>NOT(ISERROR(SEARCH("❌",R58)))</formula>
    </cfRule>
  </conditionalFormatting>
  <conditionalFormatting sqref="S62">
    <cfRule type="cellIs" dxfId="323" priority="535" operator="equal">
      <formula>"Catastrófico"</formula>
    </cfRule>
    <cfRule type="cellIs" dxfId="322" priority="536" operator="equal">
      <formula>"Mayor"</formula>
    </cfRule>
    <cfRule type="cellIs" dxfId="321" priority="537" operator="equal">
      <formula>"Moderado"</formula>
    </cfRule>
    <cfRule type="cellIs" dxfId="320" priority="538" operator="equal">
      <formula>"Menor"</formula>
    </cfRule>
    <cfRule type="cellIs" dxfId="319" priority="539" operator="equal">
      <formula>"Leve"</formula>
    </cfRule>
  </conditionalFormatting>
  <conditionalFormatting sqref="O62">
    <cfRule type="cellIs" dxfId="318" priority="530" operator="equal">
      <formula>"Muy Alta"</formula>
    </cfRule>
    <cfRule type="cellIs" dxfId="317" priority="531" operator="equal">
      <formula>"Alta"</formula>
    </cfRule>
    <cfRule type="cellIs" dxfId="316" priority="532" operator="equal">
      <formula>"Media"</formula>
    </cfRule>
    <cfRule type="cellIs" dxfId="315" priority="533" operator="equal">
      <formula>"Baja"</formula>
    </cfRule>
    <cfRule type="cellIs" dxfId="314" priority="534" operator="equal">
      <formula>"Muy Baja"</formula>
    </cfRule>
  </conditionalFormatting>
  <conditionalFormatting sqref="U62">
    <cfRule type="cellIs" dxfId="313" priority="526" operator="equal">
      <formula>"Extremo"</formula>
    </cfRule>
    <cfRule type="cellIs" dxfId="312" priority="527" operator="equal">
      <formula>"Alto"</formula>
    </cfRule>
    <cfRule type="cellIs" dxfId="311" priority="528" operator="equal">
      <formula>"Moderado"</formula>
    </cfRule>
    <cfRule type="cellIs" dxfId="310" priority="529" operator="equal">
      <formula>"Bajo"</formula>
    </cfRule>
  </conditionalFormatting>
  <conditionalFormatting sqref="R62">
    <cfRule type="containsText" dxfId="309" priority="525" operator="containsText" text="❌">
      <formula>NOT(ISERROR(SEARCH("❌",R62)))</formula>
    </cfRule>
  </conditionalFormatting>
  <conditionalFormatting sqref="AF30">
    <cfRule type="cellIs" dxfId="308" priority="520" operator="equal">
      <formula>"Muy Alta"</formula>
    </cfRule>
    <cfRule type="cellIs" dxfId="307" priority="521" operator="equal">
      <formula>"Alta"</formula>
    </cfRule>
    <cfRule type="cellIs" dxfId="306" priority="522" operator="equal">
      <formula>"Media"</formula>
    </cfRule>
    <cfRule type="cellIs" dxfId="305" priority="523" operator="equal">
      <formula>"Baja"</formula>
    </cfRule>
    <cfRule type="cellIs" dxfId="304" priority="524" operator="equal">
      <formula>"Muy Baja"</formula>
    </cfRule>
  </conditionalFormatting>
  <conditionalFormatting sqref="AH30">
    <cfRule type="cellIs" dxfId="303" priority="515" operator="equal">
      <formula>"Catastrófico"</formula>
    </cfRule>
    <cfRule type="cellIs" dxfId="302" priority="516" operator="equal">
      <formula>"Mayor"</formula>
    </cfRule>
    <cfRule type="cellIs" dxfId="301" priority="517" operator="equal">
      <formula>"Moderado"</formula>
    </cfRule>
    <cfRule type="cellIs" dxfId="300" priority="518" operator="equal">
      <formula>"Menor"</formula>
    </cfRule>
    <cfRule type="cellIs" dxfId="299" priority="519" operator="equal">
      <formula>"Leve"</formula>
    </cfRule>
  </conditionalFormatting>
  <conditionalFormatting sqref="AJ30">
    <cfRule type="cellIs" dxfId="298" priority="511" operator="equal">
      <formula>"Extremo"</formula>
    </cfRule>
    <cfRule type="cellIs" dxfId="297" priority="512" operator="equal">
      <formula>"Alto"</formula>
    </cfRule>
    <cfRule type="cellIs" dxfId="296" priority="513" operator="equal">
      <formula>"Moderado"</formula>
    </cfRule>
    <cfRule type="cellIs" dxfId="295" priority="514" operator="equal">
      <formula>"Bajo"</formula>
    </cfRule>
  </conditionalFormatting>
  <conditionalFormatting sqref="AF31">
    <cfRule type="cellIs" dxfId="294" priority="506" operator="equal">
      <formula>"Muy Alta"</formula>
    </cfRule>
    <cfRule type="cellIs" dxfId="293" priority="507" operator="equal">
      <formula>"Alta"</formula>
    </cfRule>
    <cfRule type="cellIs" dxfId="292" priority="508" operator="equal">
      <formula>"Media"</formula>
    </cfRule>
    <cfRule type="cellIs" dxfId="291" priority="509" operator="equal">
      <formula>"Baja"</formula>
    </cfRule>
    <cfRule type="cellIs" dxfId="290" priority="510" operator="equal">
      <formula>"Muy Baja"</formula>
    </cfRule>
  </conditionalFormatting>
  <conditionalFormatting sqref="AH31">
    <cfRule type="cellIs" dxfId="289" priority="501" operator="equal">
      <formula>"Catastrófico"</formula>
    </cfRule>
    <cfRule type="cellIs" dxfId="288" priority="502" operator="equal">
      <formula>"Mayor"</formula>
    </cfRule>
    <cfRule type="cellIs" dxfId="287" priority="503" operator="equal">
      <formula>"Moderado"</formula>
    </cfRule>
    <cfRule type="cellIs" dxfId="286" priority="504" operator="equal">
      <formula>"Menor"</formula>
    </cfRule>
    <cfRule type="cellIs" dxfId="285" priority="505" operator="equal">
      <formula>"Leve"</formula>
    </cfRule>
  </conditionalFormatting>
  <conditionalFormatting sqref="AJ31">
    <cfRule type="cellIs" dxfId="284" priority="497" operator="equal">
      <formula>"Extremo"</formula>
    </cfRule>
    <cfRule type="cellIs" dxfId="283" priority="498" operator="equal">
      <formula>"Alto"</formula>
    </cfRule>
    <cfRule type="cellIs" dxfId="282" priority="499" operator="equal">
      <formula>"Moderado"</formula>
    </cfRule>
    <cfRule type="cellIs" dxfId="281" priority="500" operator="equal">
      <formula>"Bajo"</formula>
    </cfRule>
  </conditionalFormatting>
  <conditionalFormatting sqref="AF49">
    <cfRule type="cellIs" dxfId="280" priority="478" operator="equal">
      <formula>"Muy Alta"</formula>
    </cfRule>
    <cfRule type="cellIs" dxfId="279" priority="479" operator="equal">
      <formula>"Alta"</formula>
    </cfRule>
    <cfRule type="cellIs" dxfId="278" priority="480" operator="equal">
      <formula>"Media"</formula>
    </cfRule>
    <cfRule type="cellIs" dxfId="277" priority="481" operator="equal">
      <formula>"Baja"</formula>
    </cfRule>
    <cfRule type="cellIs" dxfId="276" priority="482" operator="equal">
      <formula>"Muy Baja"</formula>
    </cfRule>
  </conditionalFormatting>
  <conditionalFormatting sqref="AH49">
    <cfRule type="cellIs" dxfId="275" priority="473" operator="equal">
      <formula>"Catastrófico"</formula>
    </cfRule>
    <cfRule type="cellIs" dxfId="274" priority="474" operator="equal">
      <formula>"Mayor"</formula>
    </cfRule>
    <cfRule type="cellIs" dxfId="273" priority="475" operator="equal">
      <formula>"Moderado"</formula>
    </cfRule>
    <cfRule type="cellIs" dxfId="272" priority="476" operator="equal">
      <formula>"Menor"</formula>
    </cfRule>
    <cfRule type="cellIs" dxfId="271" priority="477" operator="equal">
      <formula>"Leve"</formula>
    </cfRule>
  </conditionalFormatting>
  <conditionalFormatting sqref="AJ49">
    <cfRule type="cellIs" dxfId="270" priority="469" operator="equal">
      <formula>"Extremo"</formula>
    </cfRule>
    <cfRule type="cellIs" dxfId="269" priority="470" operator="equal">
      <formula>"Alto"</formula>
    </cfRule>
    <cfRule type="cellIs" dxfId="268" priority="471" operator="equal">
      <formula>"Moderado"</formula>
    </cfRule>
    <cfRule type="cellIs" dxfId="267" priority="472" operator="equal">
      <formula>"Bajo"</formula>
    </cfRule>
  </conditionalFormatting>
  <conditionalFormatting sqref="AF50">
    <cfRule type="cellIs" dxfId="266" priority="464" operator="equal">
      <formula>"Muy Alta"</formula>
    </cfRule>
    <cfRule type="cellIs" dxfId="265" priority="465" operator="equal">
      <formula>"Alta"</formula>
    </cfRule>
    <cfRule type="cellIs" dxfId="264" priority="466" operator="equal">
      <formula>"Media"</formula>
    </cfRule>
    <cfRule type="cellIs" dxfId="263" priority="467" operator="equal">
      <formula>"Baja"</formula>
    </cfRule>
    <cfRule type="cellIs" dxfId="262" priority="468" operator="equal">
      <formula>"Muy Baja"</formula>
    </cfRule>
  </conditionalFormatting>
  <conditionalFormatting sqref="AH50">
    <cfRule type="cellIs" dxfId="261" priority="459" operator="equal">
      <formula>"Catastrófico"</formula>
    </cfRule>
    <cfRule type="cellIs" dxfId="260" priority="460" operator="equal">
      <formula>"Mayor"</formula>
    </cfRule>
    <cfRule type="cellIs" dxfId="259" priority="461" operator="equal">
      <formula>"Moderado"</formula>
    </cfRule>
    <cfRule type="cellIs" dxfId="258" priority="462" operator="equal">
      <formula>"Menor"</formula>
    </cfRule>
    <cfRule type="cellIs" dxfId="257" priority="463" operator="equal">
      <formula>"Leve"</formula>
    </cfRule>
  </conditionalFormatting>
  <conditionalFormatting sqref="AJ50">
    <cfRule type="cellIs" dxfId="256" priority="455" operator="equal">
      <formula>"Extremo"</formula>
    </cfRule>
    <cfRule type="cellIs" dxfId="255" priority="456" operator="equal">
      <formula>"Alto"</formula>
    </cfRule>
    <cfRule type="cellIs" dxfId="254" priority="457" operator="equal">
      <formula>"Moderado"</formula>
    </cfRule>
    <cfRule type="cellIs" dxfId="253" priority="458" operator="equal">
      <formula>"Bajo"</formula>
    </cfRule>
  </conditionalFormatting>
  <conditionalFormatting sqref="AF16">
    <cfRule type="cellIs" dxfId="252" priority="450" operator="equal">
      <formula>"Muy Alta"</formula>
    </cfRule>
    <cfRule type="cellIs" dxfId="251" priority="451" operator="equal">
      <formula>"Alta"</formula>
    </cfRule>
    <cfRule type="cellIs" dxfId="250" priority="452" operator="equal">
      <formula>"Media"</formula>
    </cfRule>
    <cfRule type="cellIs" dxfId="249" priority="453" operator="equal">
      <formula>"Baja"</formula>
    </cfRule>
    <cfRule type="cellIs" dxfId="248" priority="454" operator="equal">
      <formula>"Muy Baja"</formula>
    </cfRule>
  </conditionalFormatting>
  <conditionalFormatting sqref="O66">
    <cfRule type="cellIs" dxfId="247" priority="445" operator="equal">
      <formula>"Muy Alta"</formula>
    </cfRule>
    <cfRule type="cellIs" dxfId="246" priority="446" operator="equal">
      <formula>"Alta"</formula>
    </cfRule>
    <cfRule type="cellIs" dxfId="245" priority="447" operator="equal">
      <formula>"Media"</formula>
    </cfRule>
    <cfRule type="cellIs" dxfId="244" priority="448" operator="equal">
      <formula>"Baja"</formula>
    </cfRule>
    <cfRule type="cellIs" dxfId="243" priority="449" operator="equal">
      <formula>"Muy Baja"</formula>
    </cfRule>
  </conditionalFormatting>
  <conditionalFormatting sqref="S66">
    <cfRule type="cellIs" dxfId="242" priority="440" operator="equal">
      <formula>"Catastrófico"</formula>
    </cfRule>
    <cfRule type="cellIs" dxfId="241" priority="441" operator="equal">
      <formula>"Mayor"</formula>
    </cfRule>
    <cfRule type="cellIs" dxfId="240" priority="442" operator="equal">
      <formula>"Moderado"</formula>
    </cfRule>
    <cfRule type="cellIs" dxfId="239" priority="443" operator="equal">
      <formula>"Menor"</formula>
    </cfRule>
    <cfRule type="cellIs" dxfId="238" priority="444" operator="equal">
      <formula>"Leve"</formula>
    </cfRule>
  </conditionalFormatting>
  <conditionalFormatting sqref="U66">
    <cfRule type="cellIs" dxfId="237" priority="436" operator="equal">
      <formula>"Extremo"</formula>
    </cfRule>
    <cfRule type="cellIs" dxfId="236" priority="437" operator="equal">
      <formula>"Alto"</formula>
    </cfRule>
    <cfRule type="cellIs" dxfId="235" priority="438" operator="equal">
      <formula>"Moderado"</formula>
    </cfRule>
    <cfRule type="cellIs" dxfId="234" priority="439" operator="equal">
      <formula>"Bajo"</formula>
    </cfRule>
  </conditionalFormatting>
  <conditionalFormatting sqref="R66">
    <cfRule type="containsText" dxfId="233" priority="435" operator="containsText" text="❌">
      <formula>NOT(ISERROR(SEARCH("❌",R66)))</formula>
    </cfRule>
  </conditionalFormatting>
  <conditionalFormatting sqref="AF67">
    <cfRule type="cellIs" dxfId="232" priority="430" operator="equal">
      <formula>"Muy Alta"</formula>
    </cfRule>
    <cfRule type="cellIs" dxfId="231" priority="431" operator="equal">
      <formula>"Alta"</formula>
    </cfRule>
    <cfRule type="cellIs" dxfId="230" priority="432" operator="equal">
      <formula>"Media"</formula>
    </cfRule>
    <cfRule type="cellIs" dxfId="229" priority="433" operator="equal">
      <formula>"Baja"</formula>
    </cfRule>
    <cfRule type="cellIs" dxfId="228" priority="434" operator="equal">
      <formula>"Muy Baja"</formula>
    </cfRule>
  </conditionalFormatting>
  <conditionalFormatting sqref="AH67">
    <cfRule type="cellIs" dxfId="227" priority="425" operator="equal">
      <formula>"Catastrófico"</formula>
    </cfRule>
    <cfRule type="cellIs" dxfId="226" priority="426" operator="equal">
      <formula>"Mayor"</formula>
    </cfRule>
    <cfRule type="cellIs" dxfId="225" priority="427" operator="equal">
      <formula>"Moderado"</formula>
    </cfRule>
    <cfRule type="cellIs" dxfId="224" priority="428" operator="equal">
      <formula>"Menor"</formula>
    </cfRule>
    <cfRule type="cellIs" dxfId="223" priority="429" operator="equal">
      <formula>"Leve"</formula>
    </cfRule>
  </conditionalFormatting>
  <conditionalFormatting sqref="AJ67">
    <cfRule type="cellIs" dxfId="222" priority="421" operator="equal">
      <formula>"Extremo"</formula>
    </cfRule>
    <cfRule type="cellIs" dxfId="221" priority="422" operator="equal">
      <formula>"Alto"</formula>
    </cfRule>
    <cfRule type="cellIs" dxfId="220" priority="423" operator="equal">
      <formula>"Moderado"</formula>
    </cfRule>
    <cfRule type="cellIs" dxfId="219" priority="424" operator="equal">
      <formula>"Bajo"</formula>
    </cfRule>
  </conditionalFormatting>
  <conditionalFormatting sqref="S67">
    <cfRule type="cellIs" dxfId="218" priority="416" operator="equal">
      <formula>"Catastrófico"</formula>
    </cfRule>
    <cfRule type="cellIs" dxfId="217" priority="417" operator="equal">
      <formula>"Mayor"</formula>
    </cfRule>
    <cfRule type="cellIs" dxfId="216" priority="418" operator="equal">
      <formula>"Moderado"</formula>
    </cfRule>
    <cfRule type="cellIs" dxfId="215" priority="419" operator="equal">
      <formula>"Menor"</formula>
    </cfRule>
    <cfRule type="cellIs" dxfId="214" priority="420" operator="equal">
      <formula>"Leve"</formula>
    </cfRule>
  </conditionalFormatting>
  <conditionalFormatting sqref="O67">
    <cfRule type="cellIs" dxfId="213" priority="411" operator="equal">
      <formula>"Muy Alta"</formula>
    </cfRule>
    <cfRule type="cellIs" dxfId="212" priority="412" operator="equal">
      <formula>"Alta"</formula>
    </cfRule>
    <cfRule type="cellIs" dxfId="211" priority="413" operator="equal">
      <formula>"Media"</formula>
    </cfRule>
    <cfRule type="cellIs" dxfId="210" priority="414" operator="equal">
      <formula>"Baja"</formula>
    </cfRule>
    <cfRule type="cellIs" dxfId="209" priority="415" operator="equal">
      <formula>"Muy Baja"</formula>
    </cfRule>
  </conditionalFormatting>
  <conditionalFormatting sqref="U67">
    <cfRule type="cellIs" dxfId="208" priority="407" operator="equal">
      <formula>"Extremo"</formula>
    </cfRule>
    <cfRule type="cellIs" dxfId="207" priority="408" operator="equal">
      <formula>"Alto"</formula>
    </cfRule>
    <cfRule type="cellIs" dxfId="206" priority="409" operator="equal">
      <formula>"Moderado"</formula>
    </cfRule>
    <cfRule type="cellIs" dxfId="205" priority="410" operator="equal">
      <formula>"Bajo"</formula>
    </cfRule>
  </conditionalFormatting>
  <conditionalFormatting sqref="R67">
    <cfRule type="containsText" dxfId="204" priority="406" operator="containsText" text="❌">
      <formula>NOT(ISERROR(SEARCH("❌",R67)))</formula>
    </cfRule>
  </conditionalFormatting>
  <conditionalFormatting sqref="O39">
    <cfRule type="cellIs" dxfId="203" priority="347" operator="equal">
      <formula>"Muy Alta"</formula>
    </cfRule>
    <cfRule type="cellIs" dxfId="202" priority="348" operator="equal">
      <formula>"Alta"</formula>
    </cfRule>
    <cfRule type="cellIs" dxfId="201" priority="349" operator="equal">
      <formula>"Media"</formula>
    </cfRule>
    <cfRule type="cellIs" dxfId="200" priority="350" operator="equal">
      <formula>"Baja"</formula>
    </cfRule>
    <cfRule type="cellIs" dxfId="199" priority="351" operator="equal">
      <formula>"Muy Baja"</formula>
    </cfRule>
  </conditionalFormatting>
  <conditionalFormatting sqref="S39">
    <cfRule type="cellIs" dxfId="198" priority="342" operator="equal">
      <formula>"Catastrófico"</formula>
    </cfRule>
    <cfRule type="cellIs" dxfId="197" priority="343" operator="equal">
      <formula>"Mayor"</formula>
    </cfRule>
    <cfRule type="cellIs" dxfId="196" priority="344" operator="equal">
      <formula>"Moderado"</formula>
    </cfRule>
    <cfRule type="cellIs" dxfId="195" priority="345" operator="equal">
      <formula>"Menor"</formula>
    </cfRule>
    <cfRule type="cellIs" dxfId="194" priority="346" operator="equal">
      <formula>"Leve"</formula>
    </cfRule>
  </conditionalFormatting>
  <conditionalFormatting sqref="U39">
    <cfRule type="cellIs" dxfId="193" priority="338" operator="equal">
      <formula>"Extremo"</formula>
    </cfRule>
    <cfRule type="cellIs" dxfId="192" priority="339" operator="equal">
      <formula>"Alto"</formula>
    </cfRule>
    <cfRule type="cellIs" dxfId="191" priority="340" operator="equal">
      <formula>"Moderado"</formula>
    </cfRule>
    <cfRule type="cellIs" dxfId="190" priority="341" operator="equal">
      <formula>"Bajo"</formula>
    </cfRule>
  </conditionalFormatting>
  <conditionalFormatting sqref="R39">
    <cfRule type="containsText" dxfId="189" priority="337" operator="containsText" text="❌">
      <formula>NOT(ISERROR(SEARCH("❌",R39)))</formula>
    </cfRule>
  </conditionalFormatting>
  <conditionalFormatting sqref="AF33">
    <cfRule type="cellIs" dxfId="188" priority="260" operator="equal">
      <formula>"Muy Alta"</formula>
    </cfRule>
    <cfRule type="cellIs" dxfId="187" priority="261" operator="equal">
      <formula>"Alta"</formula>
    </cfRule>
    <cfRule type="cellIs" dxfId="186" priority="262" operator="equal">
      <formula>"Media"</formula>
    </cfRule>
    <cfRule type="cellIs" dxfId="185" priority="263" operator="equal">
      <formula>"Baja"</formula>
    </cfRule>
    <cfRule type="cellIs" dxfId="184" priority="264" operator="equal">
      <formula>"Muy Baja"</formula>
    </cfRule>
  </conditionalFormatting>
  <conditionalFormatting sqref="AH33">
    <cfRule type="cellIs" dxfId="183" priority="255" operator="equal">
      <formula>"Catastrófico"</formula>
    </cfRule>
    <cfRule type="cellIs" dxfId="182" priority="256" operator="equal">
      <formula>"Mayor"</formula>
    </cfRule>
    <cfRule type="cellIs" dxfId="181" priority="257" operator="equal">
      <formula>"Moderado"</formula>
    </cfRule>
    <cfRule type="cellIs" dxfId="180" priority="258" operator="equal">
      <formula>"Menor"</formula>
    </cfRule>
    <cfRule type="cellIs" dxfId="179" priority="259" operator="equal">
      <formula>"Leve"</formula>
    </cfRule>
  </conditionalFormatting>
  <conditionalFormatting sqref="AJ33">
    <cfRule type="cellIs" dxfId="178" priority="251" operator="equal">
      <formula>"Extremo"</formula>
    </cfRule>
    <cfRule type="cellIs" dxfId="177" priority="252" operator="equal">
      <formula>"Alto"</formula>
    </cfRule>
    <cfRule type="cellIs" dxfId="176" priority="253" operator="equal">
      <formula>"Moderado"</formula>
    </cfRule>
    <cfRule type="cellIs" dxfId="175" priority="254" operator="equal">
      <formula>"Bajo"</formula>
    </cfRule>
  </conditionalFormatting>
  <conditionalFormatting sqref="AF34:AF35">
    <cfRule type="cellIs" dxfId="174" priority="232" operator="equal">
      <formula>"Muy Alta"</formula>
    </cfRule>
    <cfRule type="cellIs" dxfId="173" priority="233" operator="equal">
      <formula>"Alta"</formula>
    </cfRule>
    <cfRule type="cellIs" dxfId="172" priority="234" operator="equal">
      <formula>"Media"</formula>
    </cfRule>
    <cfRule type="cellIs" dxfId="171" priority="235" operator="equal">
      <formula>"Baja"</formula>
    </cfRule>
    <cfRule type="cellIs" dxfId="170" priority="236" operator="equal">
      <formula>"Muy Baja"</formula>
    </cfRule>
  </conditionalFormatting>
  <conditionalFormatting sqref="AH34:AH35">
    <cfRule type="cellIs" dxfId="169" priority="227" operator="equal">
      <formula>"Catastrófico"</formula>
    </cfRule>
    <cfRule type="cellIs" dxfId="168" priority="228" operator="equal">
      <formula>"Mayor"</formula>
    </cfRule>
    <cfRule type="cellIs" dxfId="167" priority="229" operator="equal">
      <formula>"Moderado"</formula>
    </cfRule>
    <cfRule type="cellIs" dxfId="166" priority="230" operator="equal">
      <formula>"Menor"</formula>
    </cfRule>
    <cfRule type="cellIs" dxfId="165" priority="231" operator="equal">
      <formula>"Leve"</formula>
    </cfRule>
  </conditionalFormatting>
  <conditionalFormatting sqref="AJ34:AJ35">
    <cfRule type="cellIs" dxfId="164" priority="223" operator="equal">
      <formula>"Extremo"</formula>
    </cfRule>
    <cfRule type="cellIs" dxfId="163" priority="224" operator="equal">
      <formula>"Alto"</formula>
    </cfRule>
    <cfRule type="cellIs" dxfId="162" priority="225" operator="equal">
      <formula>"Moderado"</formula>
    </cfRule>
    <cfRule type="cellIs" dxfId="161" priority="226" operator="equal">
      <formula>"Bajo"</formula>
    </cfRule>
  </conditionalFormatting>
  <conditionalFormatting sqref="AF36">
    <cfRule type="cellIs" dxfId="160" priority="218" operator="equal">
      <formula>"Muy Alta"</formula>
    </cfRule>
    <cfRule type="cellIs" dxfId="159" priority="219" operator="equal">
      <formula>"Alta"</formula>
    </cfRule>
    <cfRule type="cellIs" dxfId="158" priority="220" operator="equal">
      <formula>"Media"</formula>
    </cfRule>
    <cfRule type="cellIs" dxfId="157" priority="221" operator="equal">
      <formula>"Baja"</formula>
    </cfRule>
    <cfRule type="cellIs" dxfId="156" priority="222" operator="equal">
      <formula>"Muy Baja"</formula>
    </cfRule>
  </conditionalFormatting>
  <conditionalFormatting sqref="AH36">
    <cfRule type="cellIs" dxfId="155" priority="213" operator="equal">
      <formula>"Catastrófico"</formula>
    </cfRule>
    <cfRule type="cellIs" dxfId="154" priority="214" operator="equal">
      <formula>"Mayor"</formula>
    </cfRule>
    <cfRule type="cellIs" dxfId="153" priority="215" operator="equal">
      <formula>"Moderado"</formula>
    </cfRule>
    <cfRule type="cellIs" dxfId="152" priority="216" operator="equal">
      <formula>"Menor"</formula>
    </cfRule>
    <cfRule type="cellIs" dxfId="151" priority="217" operator="equal">
      <formula>"Leve"</formula>
    </cfRule>
  </conditionalFormatting>
  <conditionalFormatting sqref="AJ36">
    <cfRule type="cellIs" dxfId="150" priority="209" operator="equal">
      <formula>"Extremo"</formula>
    </cfRule>
    <cfRule type="cellIs" dxfId="149" priority="210" operator="equal">
      <formula>"Alto"</formula>
    </cfRule>
    <cfRule type="cellIs" dxfId="148" priority="211" operator="equal">
      <formula>"Moderado"</formula>
    </cfRule>
    <cfRule type="cellIs" dxfId="147" priority="212" operator="equal">
      <formula>"Bajo"</formula>
    </cfRule>
  </conditionalFormatting>
  <conditionalFormatting sqref="AF38">
    <cfRule type="cellIs" dxfId="146" priority="204" operator="equal">
      <formula>"Muy Alta"</formula>
    </cfRule>
    <cfRule type="cellIs" dxfId="145" priority="205" operator="equal">
      <formula>"Alta"</formula>
    </cfRule>
    <cfRule type="cellIs" dxfId="144" priority="206" operator="equal">
      <formula>"Media"</formula>
    </cfRule>
    <cfRule type="cellIs" dxfId="143" priority="207" operator="equal">
      <formula>"Baja"</formula>
    </cfRule>
    <cfRule type="cellIs" dxfId="142" priority="208" operator="equal">
      <formula>"Muy Baja"</formula>
    </cfRule>
  </conditionalFormatting>
  <conditionalFormatting sqref="AH38">
    <cfRule type="cellIs" dxfId="141" priority="199" operator="equal">
      <formula>"Catastrófico"</formula>
    </cfRule>
    <cfRule type="cellIs" dxfId="140" priority="200" operator="equal">
      <formula>"Mayor"</formula>
    </cfRule>
    <cfRule type="cellIs" dxfId="139" priority="201" operator="equal">
      <formula>"Moderado"</formula>
    </cfRule>
    <cfRule type="cellIs" dxfId="138" priority="202" operator="equal">
      <formula>"Menor"</formula>
    </cfRule>
    <cfRule type="cellIs" dxfId="137" priority="203" operator="equal">
      <formula>"Leve"</formula>
    </cfRule>
  </conditionalFormatting>
  <conditionalFormatting sqref="AJ38">
    <cfRule type="cellIs" dxfId="136" priority="195" operator="equal">
      <formula>"Extremo"</formula>
    </cfRule>
    <cfRule type="cellIs" dxfId="135" priority="196" operator="equal">
      <formula>"Alto"</formula>
    </cfRule>
    <cfRule type="cellIs" dxfId="134" priority="197" operator="equal">
      <formula>"Moderado"</formula>
    </cfRule>
    <cfRule type="cellIs" dxfId="133" priority="198" operator="equal">
      <formula>"Bajo"</formula>
    </cfRule>
  </conditionalFormatting>
  <conditionalFormatting sqref="AF39">
    <cfRule type="cellIs" dxfId="132" priority="190" operator="equal">
      <formula>"Muy Alta"</formula>
    </cfRule>
    <cfRule type="cellIs" dxfId="131" priority="191" operator="equal">
      <formula>"Alta"</formula>
    </cfRule>
    <cfRule type="cellIs" dxfId="130" priority="192" operator="equal">
      <formula>"Media"</formula>
    </cfRule>
    <cfRule type="cellIs" dxfId="129" priority="193" operator="equal">
      <formula>"Baja"</formula>
    </cfRule>
    <cfRule type="cellIs" dxfId="128" priority="194" operator="equal">
      <formula>"Muy Baja"</formula>
    </cfRule>
  </conditionalFormatting>
  <conditionalFormatting sqref="AH39">
    <cfRule type="cellIs" dxfId="127" priority="185" operator="equal">
      <formula>"Catastrófico"</formula>
    </cfRule>
    <cfRule type="cellIs" dxfId="126" priority="186" operator="equal">
      <formula>"Mayor"</formula>
    </cfRule>
    <cfRule type="cellIs" dxfId="125" priority="187" operator="equal">
      <formula>"Moderado"</formula>
    </cfRule>
    <cfRule type="cellIs" dxfId="124" priority="188" operator="equal">
      <formula>"Menor"</formula>
    </cfRule>
    <cfRule type="cellIs" dxfId="123" priority="189" operator="equal">
      <formula>"Leve"</formula>
    </cfRule>
  </conditionalFormatting>
  <conditionalFormatting sqref="AJ39">
    <cfRule type="cellIs" dxfId="122" priority="181" operator="equal">
      <formula>"Extremo"</formula>
    </cfRule>
    <cfRule type="cellIs" dxfId="121" priority="182" operator="equal">
      <formula>"Alto"</formula>
    </cfRule>
    <cfRule type="cellIs" dxfId="120" priority="183" operator="equal">
      <formula>"Moderado"</formula>
    </cfRule>
    <cfRule type="cellIs" dxfId="119" priority="184" operator="equal">
      <formula>"Bajo"</formula>
    </cfRule>
  </conditionalFormatting>
  <conditionalFormatting sqref="AF71:AF73">
    <cfRule type="cellIs" dxfId="118" priority="147" operator="equal">
      <formula>"Muy Alta"</formula>
    </cfRule>
    <cfRule type="cellIs" dxfId="117" priority="148" operator="equal">
      <formula>"Alta"</formula>
    </cfRule>
    <cfRule type="cellIs" dxfId="116" priority="149" operator="equal">
      <formula>"Media"</formula>
    </cfRule>
    <cfRule type="cellIs" dxfId="115" priority="150" operator="equal">
      <formula>"Baja"</formula>
    </cfRule>
    <cfRule type="cellIs" dxfId="114" priority="151" operator="equal">
      <formula>"Muy Baja"</formula>
    </cfRule>
  </conditionalFormatting>
  <conditionalFormatting sqref="AH71:AH73">
    <cfRule type="cellIs" dxfId="113" priority="142" operator="equal">
      <formula>"Catastrófico"</formula>
    </cfRule>
    <cfRule type="cellIs" dxfId="112" priority="143" operator="equal">
      <formula>"Mayor"</formula>
    </cfRule>
    <cfRule type="cellIs" dxfId="111" priority="144" operator="equal">
      <formula>"Moderado"</formula>
    </cfRule>
    <cfRule type="cellIs" dxfId="110" priority="145" operator="equal">
      <formula>"Menor"</formula>
    </cfRule>
    <cfRule type="cellIs" dxfId="109" priority="146" operator="equal">
      <formula>"Leve"</formula>
    </cfRule>
  </conditionalFormatting>
  <conditionalFormatting sqref="AJ71:AJ73">
    <cfRule type="cellIs" dxfId="108" priority="138" operator="equal">
      <formula>"Extremo"</formula>
    </cfRule>
    <cfRule type="cellIs" dxfId="107" priority="139" operator="equal">
      <formula>"Alto"</formula>
    </cfRule>
    <cfRule type="cellIs" dxfId="106" priority="140" operator="equal">
      <formula>"Moderado"</formula>
    </cfRule>
    <cfRule type="cellIs" dxfId="105" priority="141" operator="equal">
      <formula>"Bajo"</formula>
    </cfRule>
  </conditionalFormatting>
  <conditionalFormatting sqref="AF40">
    <cfRule type="cellIs" dxfId="104" priority="119" operator="equal">
      <formula>"Muy Alta"</formula>
    </cfRule>
    <cfRule type="cellIs" dxfId="103" priority="120" operator="equal">
      <formula>"Alta"</formula>
    </cfRule>
    <cfRule type="cellIs" dxfId="102" priority="121" operator="equal">
      <formula>"Media"</formula>
    </cfRule>
    <cfRule type="cellIs" dxfId="101" priority="122" operator="equal">
      <formula>"Baja"</formula>
    </cfRule>
    <cfRule type="cellIs" dxfId="100" priority="123" operator="equal">
      <formula>"Muy Baja"</formula>
    </cfRule>
  </conditionalFormatting>
  <conditionalFormatting sqref="AH40:AH41">
    <cfRule type="cellIs" dxfId="99" priority="114" operator="equal">
      <formula>"Catastrófico"</formula>
    </cfRule>
    <cfRule type="cellIs" dxfId="98" priority="115" operator="equal">
      <formula>"Mayor"</formula>
    </cfRule>
    <cfRule type="cellIs" dxfId="97" priority="116" operator="equal">
      <formula>"Moderado"</formula>
    </cfRule>
    <cfRule type="cellIs" dxfId="96" priority="117" operator="equal">
      <formula>"Menor"</formula>
    </cfRule>
    <cfRule type="cellIs" dxfId="95" priority="118" operator="equal">
      <formula>"Leve"</formula>
    </cfRule>
  </conditionalFormatting>
  <conditionalFormatting sqref="AJ40:AJ41">
    <cfRule type="cellIs" dxfId="94" priority="110" operator="equal">
      <formula>"Extremo"</formula>
    </cfRule>
    <cfRule type="cellIs" dxfId="93" priority="111" operator="equal">
      <formula>"Alto"</formula>
    </cfRule>
    <cfRule type="cellIs" dxfId="92" priority="112" operator="equal">
      <formula>"Moderado"</formula>
    </cfRule>
    <cfRule type="cellIs" dxfId="91" priority="113" operator="equal">
      <formula>"Bajo"</formula>
    </cfRule>
  </conditionalFormatting>
  <conditionalFormatting sqref="AF41">
    <cfRule type="cellIs" dxfId="90" priority="105" operator="equal">
      <formula>"Muy Alta"</formula>
    </cfRule>
    <cfRule type="cellIs" dxfId="89" priority="106" operator="equal">
      <formula>"Alta"</formula>
    </cfRule>
    <cfRule type="cellIs" dxfId="88" priority="107" operator="equal">
      <formula>"Media"</formula>
    </cfRule>
    <cfRule type="cellIs" dxfId="87" priority="108" operator="equal">
      <formula>"Baja"</formula>
    </cfRule>
    <cfRule type="cellIs" dxfId="86" priority="109" operator="equal">
      <formula>"Muy Baja"</formula>
    </cfRule>
  </conditionalFormatting>
  <conditionalFormatting sqref="O70">
    <cfRule type="cellIs" dxfId="85" priority="100" operator="equal">
      <formula>"Muy Alta"</formula>
    </cfRule>
    <cfRule type="cellIs" dxfId="84" priority="101" operator="equal">
      <formula>"Alta"</formula>
    </cfRule>
    <cfRule type="cellIs" dxfId="83" priority="102" operator="equal">
      <formula>"Media"</formula>
    </cfRule>
    <cfRule type="cellIs" dxfId="82" priority="103" operator="equal">
      <formula>"Baja"</formula>
    </cfRule>
    <cfRule type="cellIs" dxfId="81" priority="104" operator="equal">
      <formula>"Muy Baja"</formula>
    </cfRule>
  </conditionalFormatting>
  <conditionalFormatting sqref="S70">
    <cfRule type="cellIs" dxfId="80" priority="95" operator="equal">
      <formula>"Catastrófico"</formula>
    </cfRule>
    <cfRule type="cellIs" dxfId="79" priority="96" operator="equal">
      <formula>"Mayor"</formula>
    </cfRule>
    <cfRule type="cellIs" dxfId="78" priority="97" operator="equal">
      <formula>"Moderado"</formula>
    </cfRule>
    <cfRule type="cellIs" dxfId="77" priority="98" operator="equal">
      <formula>"Menor"</formula>
    </cfRule>
    <cfRule type="cellIs" dxfId="76" priority="99" operator="equal">
      <formula>"Leve"</formula>
    </cfRule>
  </conditionalFormatting>
  <conditionalFormatting sqref="U70">
    <cfRule type="cellIs" dxfId="75" priority="91" operator="equal">
      <formula>"Extremo"</formula>
    </cfRule>
    <cfRule type="cellIs" dxfId="74" priority="92" operator="equal">
      <formula>"Alto"</formula>
    </cfRule>
    <cfRule type="cellIs" dxfId="73" priority="93" operator="equal">
      <formula>"Moderado"</formula>
    </cfRule>
    <cfRule type="cellIs" dxfId="72" priority="94" operator="equal">
      <formula>"Bajo"</formula>
    </cfRule>
  </conditionalFormatting>
  <conditionalFormatting sqref="R70">
    <cfRule type="containsText" dxfId="71" priority="90" operator="containsText" text="❌">
      <formula>NOT(ISERROR(SEARCH("❌",R70)))</formula>
    </cfRule>
  </conditionalFormatting>
  <conditionalFormatting sqref="AF70">
    <cfRule type="cellIs" dxfId="70" priority="85" operator="equal">
      <formula>"Muy Alta"</formula>
    </cfRule>
    <cfRule type="cellIs" dxfId="69" priority="86" operator="equal">
      <formula>"Alta"</formula>
    </cfRule>
    <cfRule type="cellIs" dxfId="68" priority="87" operator="equal">
      <formula>"Media"</formula>
    </cfRule>
    <cfRule type="cellIs" dxfId="67" priority="88" operator="equal">
      <formula>"Baja"</formula>
    </cfRule>
    <cfRule type="cellIs" dxfId="66" priority="89" operator="equal">
      <formula>"Muy Baja"</formula>
    </cfRule>
  </conditionalFormatting>
  <conditionalFormatting sqref="AH70">
    <cfRule type="cellIs" dxfId="65" priority="80" operator="equal">
      <formula>"Catastrófico"</formula>
    </cfRule>
    <cfRule type="cellIs" dxfId="64" priority="81" operator="equal">
      <formula>"Mayor"</formula>
    </cfRule>
    <cfRule type="cellIs" dxfId="63" priority="82" operator="equal">
      <formula>"Moderado"</formula>
    </cfRule>
    <cfRule type="cellIs" dxfId="62" priority="83" operator="equal">
      <formula>"Menor"</formula>
    </cfRule>
    <cfRule type="cellIs" dxfId="61" priority="84" operator="equal">
      <formula>"Leve"</formula>
    </cfRule>
  </conditionalFormatting>
  <conditionalFormatting sqref="AJ70">
    <cfRule type="cellIs" dxfId="60" priority="76" operator="equal">
      <formula>"Extremo"</formula>
    </cfRule>
    <cfRule type="cellIs" dxfId="59" priority="77" operator="equal">
      <formula>"Alto"</formula>
    </cfRule>
    <cfRule type="cellIs" dxfId="58" priority="78" operator="equal">
      <formula>"Moderado"</formula>
    </cfRule>
    <cfRule type="cellIs" dxfId="57" priority="79" operator="equal">
      <formula>"Bajo"</formula>
    </cfRule>
  </conditionalFormatting>
  <conditionalFormatting sqref="S69">
    <cfRule type="cellIs" dxfId="56" priority="71" operator="equal">
      <formula>"Catastrófico"</formula>
    </cfRule>
    <cfRule type="cellIs" dxfId="55" priority="72" operator="equal">
      <formula>"Mayor"</formula>
    </cfRule>
    <cfRule type="cellIs" dxfId="54" priority="73" operator="equal">
      <formula>"Moderado"</formula>
    </cfRule>
    <cfRule type="cellIs" dxfId="53" priority="74" operator="equal">
      <formula>"Menor"</formula>
    </cfRule>
    <cfRule type="cellIs" dxfId="52" priority="75" operator="equal">
      <formula>"Leve"</formula>
    </cfRule>
  </conditionalFormatting>
  <conditionalFormatting sqref="U69">
    <cfRule type="cellIs" dxfId="51" priority="67" operator="equal">
      <formula>"Extremo"</formula>
    </cfRule>
    <cfRule type="cellIs" dxfId="50" priority="68" operator="equal">
      <formula>"Alto"</formula>
    </cfRule>
    <cfRule type="cellIs" dxfId="49" priority="69" operator="equal">
      <formula>"Moderado"</formula>
    </cfRule>
    <cfRule type="cellIs" dxfId="48" priority="70" operator="equal">
      <formula>"Bajo"</formula>
    </cfRule>
  </conditionalFormatting>
  <conditionalFormatting sqref="R69">
    <cfRule type="containsText" dxfId="47" priority="66" operator="containsText" text="❌">
      <formula>NOT(ISERROR(SEARCH("❌",R69)))</formula>
    </cfRule>
  </conditionalFormatting>
  <conditionalFormatting sqref="O71:O74">
    <cfRule type="cellIs" dxfId="46" priority="61" operator="equal">
      <formula>"Muy Alta"</formula>
    </cfRule>
    <cfRule type="cellIs" dxfId="45" priority="62" operator="equal">
      <formula>"Alta"</formula>
    </cfRule>
    <cfRule type="cellIs" dxfId="44" priority="63" operator="equal">
      <formula>"Media"</formula>
    </cfRule>
    <cfRule type="cellIs" dxfId="43" priority="64" operator="equal">
      <formula>"Baja"</formula>
    </cfRule>
    <cfRule type="cellIs" dxfId="42" priority="65" operator="equal">
      <formula>"Muy Baja"</formula>
    </cfRule>
  </conditionalFormatting>
  <conditionalFormatting sqref="S71:S74">
    <cfRule type="cellIs" dxfId="41" priority="56" operator="equal">
      <formula>"Catastrófico"</formula>
    </cfRule>
    <cfRule type="cellIs" dxfId="40" priority="57" operator="equal">
      <formula>"Mayor"</formula>
    </cfRule>
    <cfRule type="cellIs" dxfId="39" priority="58" operator="equal">
      <formula>"Moderado"</formula>
    </cfRule>
    <cfRule type="cellIs" dxfId="38" priority="59" operator="equal">
      <formula>"Menor"</formula>
    </cfRule>
    <cfRule type="cellIs" dxfId="37" priority="60" operator="equal">
      <formula>"Leve"</formula>
    </cfRule>
  </conditionalFormatting>
  <conditionalFormatting sqref="U71:U73">
    <cfRule type="cellIs" dxfId="36" priority="52" operator="equal">
      <formula>"Extremo"</formula>
    </cfRule>
    <cfRule type="cellIs" dxfId="35" priority="53" operator="equal">
      <formula>"Alto"</formula>
    </cfRule>
    <cfRule type="cellIs" dxfId="34" priority="54" operator="equal">
      <formula>"Moderado"</formula>
    </cfRule>
    <cfRule type="cellIs" dxfId="33" priority="55" operator="equal">
      <formula>"Bajo"</formula>
    </cfRule>
  </conditionalFormatting>
  <conditionalFormatting sqref="R71:R74">
    <cfRule type="containsText" dxfId="32" priority="51" operator="containsText" text="❌">
      <formula>NOT(ISERROR(SEARCH("❌",R71)))</formula>
    </cfRule>
  </conditionalFormatting>
  <conditionalFormatting sqref="AF37">
    <cfRule type="cellIs" dxfId="31" priority="32" operator="equal">
      <formula>"Muy Alta"</formula>
    </cfRule>
    <cfRule type="cellIs" dxfId="30" priority="33" operator="equal">
      <formula>"Alta"</formula>
    </cfRule>
    <cfRule type="cellIs" dxfId="29" priority="34" operator="equal">
      <formula>"Media"</formula>
    </cfRule>
    <cfRule type="cellIs" dxfId="28" priority="35" operator="equal">
      <formula>"Baja"</formula>
    </cfRule>
    <cfRule type="cellIs" dxfId="27" priority="36" operator="equal">
      <formula>"Muy Baja"</formula>
    </cfRule>
  </conditionalFormatting>
  <conditionalFormatting sqref="AH37">
    <cfRule type="cellIs" dxfId="26" priority="27" operator="equal">
      <formula>"Catastrófico"</formula>
    </cfRule>
    <cfRule type="cellIs" dxfId="25" priority="28" operator="equal">
      <formula>"Mayor"</formula>
    </cfRule>
    <cfRule type="cellIs" dxfId="24" priority="29" operator="equal">
      <formula>"Moderado"</formula>
    </cfRule>
    <cfRule type="cellIs" dxfId="23" priority="30" operator="equal">
      <formula>"Menor"</formula>
    </cfRule>
    <cfRule type="cellIs" dxfId="22" priority="31" operator="equal">
      <formula>"Leve"</formula>
    </cfRule>
  </conditionalFormatting>
  <conditionalFormatting sqref="AJ37">
    <cfRule type="cellIs" dxfId="21" priority="23" operator="equal">
      <formula>"Extremo"</formula>
    </cfRule>
    <cfRule type="cellIs" dxfId="20" priority="24" operator="equal">
      <formula>"Alto"</formula>
    </cfRule>
    <cfRule type="cellIs" dxfId="19" priority="25" operator="equal">
      <formula>"Moderado"</formula>
    </cfRule>
    <cfRule type="cellIs" dxfId="18" priority="26" operator="equal">
      <formula>"Bajo"</formula>
    </cfRule>
  </conditionalFormatting>
  <conditionalFormatting sqref="AF48">
    <cfRule type="cellIs" dxfId="17" priority="18" operator="equal">
      <formula>"Muy Alta"</formula>
    </cfRule>
    <cfRule type="cellIs" dxfId="16" priority="19" operator="equal">
      <formula>"Alta"</formula>
    </cfRule>
    <cfRule type="cellIs" dxfId="15" priority="20" operator="equal">
      <formula>"Media"</formula>
    </cfRule>
    <cfRule type="cellIs" dxfId="14" priority="21" operator="equal">
      <formula>"Baja"</formula>
    </cfRule>
    <cfRule type="cellIs" dxfId="13" priority="22" operator="equal">
      <formula>"Muy Baja"</formula>
    </cfRule>
  </conditionalFormatting>
  <conditionalFormatting sqref="AH48">
    <cfRule type="cellIs" dxfId="12" priority="13" operator="equal">
      <formula>"Catastrófico"</formula>
    </cfRule>
    <cfRule type="cellIs" dxfId="11" priority="14" operator="equal">
      <formula>"Mayor"</formula>
    </cfRule>
    <cfRule type="cellIs" dxfId="10" priority="15" operator="equal">
      <formula>"Moderado"</formula>
    </cfRule>
    <cfRule type="cellIs" dxfId="9" priority="16" operator="equal">
      <formula>"Menor"</formula>
    </cfRule>
    <cfRule type="cellIs" dxfId="8" priority="17" operator="equal">
      <formula>"Leve"</formula>
    </cfRule>
  </conditionalFormatting>
  <conditionalFormatting sqref="AJ48">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6">
    <dataValidation type="list" allowBlank="1" showInputMessage="1" showErrorMessage="1" sqref="D30:D31 D52 D48:D50 D46 D40 D42" xr:uid="{2CA1C41F-1971-4D94-B199-0BBEB7CC9E90}">
      <formula1>"Riesgo de gestión, Riesgo de Corrupción, Riesgo de Seguridad de la información"</formula1>
    </dataValidation>
    <dataValidation type="list" allowBlank="1" showInputMessage="1" showErrorMessage="1" sqref="D53 D56 D58:D60 D62:D67 D16:D29 D33:D34 D36 D38:D39 D69:D71" xr:uid="{3E22D582-C3CA-41A7-8CFA-D41F6F600776}">
      <formula1>"Riesgo de gestión, Riesgo de Corrupción, Riesgo de Seguridad Digital"</formula1>
    </dataValidation>
    <dataValidation allowBlank="1" showInputMessage="1" showErrorMessage="1" promptTitle="Riesgos de seguridad digital" prompt="La probabilidad y el impacto se determinan con base a la amenaza, no en las vulnerabilidades." sqref="L14" xr:uid="{2841100B-14F0-454D-BD4D-A7756B9D2594}"/>
    <dataValidation type="list" allowBlank="1" showInputMessage="1" showErrorMessage="1" sqref="J17:L17 I48:I50 I52:I53 I56 I58:I60 I62:I67 I46 I15:I17 I19 I23:I25 I27 I29:I31 I40 I42 I69:I70" xr:uid="{B7DE4CB4-ED15-4B36-87CF-DC6746BC2663}">
      <mc:AlternateContent xmlns:x12ac="http://schemas.microsoft.com/office/spreadsheetml/2011/1/ac" xmlns:mc="http://schemas.openxmlformats.org/markup-compatibility/2006">
        <mc:Choice Requires="x12ac">
          <x12ac:list>No Aplica, Confidencialidad, Integridad, Disponibilidad, Confidencialidad e Integridad, Confidencialidad y Disponibilidad, Integridad y Disponibilidad," Confidencialidad, Integridad y Disponibilidad"</x12ac:list>
        </mc:Choice>
        <mc:Fallback>
          <formula1>"No Aplica, Confidencialidad, Integridad, Disponibilidad, Confidencialidad e Integridad, Confidencialidad y Disponibilidad, Integridad y Disponibilidad, Confidencialidad, Integridad y Disponibilidad"</formula1>
        </mc:Fallback>
      </mc:AlternateContent>
    </dataValidation>
    <dataValidation type="list" allowBlank="1" showInputMessage="1" showErrorMessage="1" sqref="J48:J50 J52:J53 J56 J58:J60 J62:J67 J46 J15:J16 J19 J23:J25 J27 J29:J31 J40 J42 J69:J70" xr:uid="{B95BC01B-A1AC-4D28-99B8-4D0B6C2F6A33}">
      <formula1>"No Aplica, Información, Hardware, Software, Servicios, Personas, Instalaciones"</formula1>
    </dataValidation>
    <dataValidation type="list" allowBlank="1" showInputMessage="1" showErrorMessage="1" sqref="D15" xr:uid="{CA1D4F9F-FFA9-40D4-9203-B03FA4BFCF77}">
      <formula1>"Riesgo de gestión, Riesgo de Seguridad Digital"</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18FFFF48-9543-4409-9B5F-70FC0A0881FE}">
          <x14:formula1>
            <xm:f>'Tabla Valoración controles'!$D$4:$D$6</xm:f>
          </x14:formula1>
          <xm:sqref>Y56:Y67 Y15:Y19 Y48:Y50 Y52:Y53 Y23:Y25 Y27:Y31 Y33:Y46 Y69:Y71</xm:sqref>
        </x14:dataValidation>
        <x14:dataValidation type="list" allowBlank="1" showInputMessage="1" showErrorMessage="1" xr:uid="{24E4FB6F-322E-4BC0-B9F2-774A9F16DBBB}">
          <x14:formula1>
            <xm:f>'Tabla Valoración controles'!$D$7:$D$8</xm:f>
          </x14:formula1>
          <xm:sqref>Z56:Z67 Z15:Z19 Z48:Z50 Z52:Z53 Z23:Z25 Z27:Z31 Z33:Z46 Z69:Z71</xm:sqref>
        </x14:dataValidation>
        <x14:dataValidation type="list" allowBlank="1" showInputMessage="1" showErrorMessage="1" xr:uid="{46C2761A-E086-4E58-839A-D2573B6D4C0A}">
          <x14:formula1>
            <xm:f>'Tabla Valoración controles'!$D$9:$D$10</xm:f>
          </x14:formula1>
          <xm:sqref>AB56:AB67 AB15:AB19 AB48:AB50 AB52:AB53 AB23:AB25 AB27:AB31 AB33:AB46 AB69:AB71</xm:sqref>
        </x14:dataValidation>
        <x14:dataValidation type="list" allowBlank="1" showInputMessage="1" showErrorMessage="1" xr:uid="{08BE1AB5-E1DC-44CC-B714-E5090AB6BC4C}">
          <x14:formula1>
            <xm:f>'Tabla Valoración controles'!$D$11:$D$12</xm:f>
          </x14:formula1>
          <xm:sqref>AC56:AC67 AC15:AC19 AC48:AC50 AC52:AC53 AC23:AC25 AC27:AC31 AC33:AC46 AC69:AC71</xm:sqref>
        </x14:dataValidation>
        <x14:dataValidation type="list" allowBlank="1" showInputMessage="1" showErrorMessage="1" xr:uid="{39DF2496-0868-45E0-98AD-B4D75E123BA1}">
          <x14:formula1>
            <xm:f>'Opciones Tratamiento'!$B$9:$B$10</xm:f>
          </x14:formula1>
          <xm:sqref>AQ15:AQ16 AQ53:AQ55 AQ42 AQ44 AQ19:AQ26 AQ58:AQ65 AQ29:AQ39 AQ67:AQ73 AQ46:AQ51</xm:sqref>
        </x14:dataValidation>
        <x14:dataValidation type="list" allowBlank="1" showInputMessage="1" showErrorMessage="1" xr:uid="{9FE60700-FB70-42CE-999F-A7213ADBA618}">
          <x14:formula1>
            <xm:f>'Tabla Valoración controles'!$D$13:$D$14</xm:f>
          </x14:formula1>
          <xm:sqref>AD56:AD67 AD15:AD19 AD48:AD50 AD52:AD53 AD23:AD25 AD27:AD31 AD33:AD46 AD69:AD71</xm:sqref>
        </x14:dataValidation>
        <x14:dataValidation type="list" allowBlank="1" showInputMessage="1" showErrorMessage="1" xr:uid="{580CB824-A085-4D79-9059-E3C0D72E964B}">
          <x14:formula1>
            <xm:f>'Opciones Tratamiento'!$B$13:$B$19</xm:f>
          </x14:formula1>
          <xm:sqref>M48:M50 M52:M53 M56 M58:M60 M62:M67 M46 M42 M15:M34 M36 M38:M40 M69:M71</xm:sqref>
        </x14:dataValidation>
        <x14:dataValidation type="list" allowBlank="1" showInputMessage="1" showErrorMessage="1" xr:uid="{62908C57-41ED-4513-9C74-8C24F6781DAF}">
          <x14:formula1>
            <xm:f>'Opciones Tratamiento'!$E$2:$E$4</xm:f>
          </x14:formula1>
          <xm:sqref>E48:E50 E52:E53 E56 E58:E60 E62:E67 E46 E42 E15:E34 E36 E38:E40 E69:E71</xm:sqref>
        </x14:dataValidation>
        <x14:dataValidation type="list" allowBlank="1" showInputMessage="1" showErrorMessage="1" xr:uid="{61F7EA6E-5B58-4117-B9E3-A671BD49D838}">
          <x14:formula1>
            <xm:f>'Opciones Tratamiento'!$B$2:$B$5</xm:f>
          </x14:formula1>
          <xm:sqref>AK29:AK31 AK27 AK48:AK50 AK46 AK52:AK53 AK19 AK23:AK25 AK15:AK17 AK56 AK58:AK60 AK62:AK67 AK33:AK42 AK69:AK73</xm:sqref>
        </x14:dataValidation>
        <x14:dataValidation type="list" allowBlank="1" showInputMessage="1" showErrorMessage="1" xr:uid="{7F868760-EB6F-4DA8-860F-D58FCE672393}">
          <x14:formula1>
            <xm:f>'Tabla Impacto'!$F$210:$F$221</xm:f>
          </x14:formula1>
          <xm:sqref>Q15:Q17 Q52:Q60 Q46 Q48:Q50 Q42 Q62:Q67 Q19:Q34 Q36 Q38:Q40 Q69:Q74</xm:sqref>
        </x14:dataValidation>
        <x14:dataValidation type="custom" allowBlank="1" showInputMessage="1" showErrorMessage="1" error="Recuerde que las acciones se generan bajo la medida de mitigar el riesgo" xr:uid="{E929764A-E00E-480E-ACBF-52BEEA887283}">
          <x14:formula1>
            <xm:f>IF(OR(AK15='Opciones Tratamiento'!$B$2,AK15='Opciones Tratamiento'!$B$3,AK15='Opciones Tratamiento'!$B$4),ISBLANK(AK15),ISTEXT(AK15))</xm:f>
          </x14:formula1>
          <xm:sqref>AL15:AL17 AL29:AL30 AL58:AL63 AL25:AL26 AL53:AL55 AL19:AL23 AL33:AL39</xm:sqref>
        </x14:dataValidation>
        <x14:dataValidation type="custom" allowBlank="1" showInputMessage="1" showErrorMessage="1" error="Recuerde que las acciones se generan bajo la medida de mitigar el riesgo" xr:uid="{272C0792-B4D2-4C36-8FB3-5C47A7A82537}">
          <x14:formula1>
            <xm:f>IF(OR(AJ15='Opciones Tratamiento'!$B$2,AJ15='Opciones Tratamiento'!$B$3,AJ15='Opciones Tratamiento'!$B$4),ISBLANK(AJ15),ISTEXT(AJ15))</xm:f>
          </x14:formula1>
          <xm:sqref>AN17:AR17 AM19 AM23:AM25 AM15:AM17 AL27:AR27 AM29 AM33:AM39</xm:sqref>
        </x14:dataValidation>
        <x14:dataValidation type="custom" allowBlank="1" showInputMessage="1" showErrorMessage="1" error="Recuerde que las acciones se generan bajo la medida de mitigar el riesgo" xr:uid="{3F279E8B-0FA3-44E4-BDA4-1D76EA60789B}">
          <x14:formula1>
            <xm:f>IF(OR(AK15='Opciones Tratamiento'!$B$2,AK15='Opciones Tratamiento'!$B$3,AK15='Opciones Tratamiento'!$B$4),ISBLANK(AK15),ISTEXT(AK15))</xm:f>
          </x14:formula1>
          <xm:sqref>AN33:AN39 AN15:AN16 AN29:AN30 AN19:AN26</xm:sqref>
        </x14:dataValidation>
        <x14:dataValidation type="custom" allowBlank="1" showInputMessage="1" showErrorMessage="1" error="Recuerde que las acciones se generan bajo la medida de mitigar el riesgo" xr:uid="{48F70860-3698-423E-A312-95D87AD9EAA8}">
          <x14:formula1>
            <xm:f>IF(OR(AK15='Opciones Tratamiento'!$B$2,AK15='Opciones Tratamiento'!$B$3,AK15='Opciones Tratamiento'!$B$4),ISBLANK(AK15),ISTEXT(AK15))</xm:f>
          </x14:formula1>
          <xm:sqref>AO15:AO16 AO46:AO49 AO42 AO19:AO26 AO58:AO63 AO29:AO39 AO53:AO55</xm:sqref>
        </x14:dataValidation>
        <x14:dataValidation type="custom" allowBlank="1" showInputMessage="1" showErrorMessage="1" error="Recuerde que las acciones se generan bajo la medida de mitigar el riesgo" xr:uid="{8A83CBF0-B83F-48B7-9BCA-83367E0AA986}">
          <x14:formula1>
            <xm:f>IF(OR(AK15='Opciones Tratamiento'!$B$2,AK15='Opciones Tratamiento'!$B$3,AK15='Opciones Tratamiento'!$B$4),ISBLANK(AK15),ISTEXT(AK15))</xm:f>
          </x14:formula1>
          <xm:sqref>AR49 AR58 AP15:AP16 AR15:AR16 AR53:AR55 AP53:AP55 AP42 AR42 AP46:AP49 AR19:AR26 AP23:AP26 AP58:AP63 AR29:AR39 AP29:AP39</xm:sqref>
        </x14:dataValidation>
        <x14:dataValidation type="custom" allowBlank="1" showInputMessage="1" showErrorMessage="1" error="Recuerde que las acciones se generan bajo la medida de mitigar el riesgo" xr:uid="{9294A1D6-5179-4DBB-A0E3-41BF801EA48C}">
          <x14:formula1>
            <xm:f>IF(OR(#REF!='Opciones Tratamiento'!$B$2,#REF!='Opciones Tratamiento'!$B$3,#REF!='Opciones Tratamiento'!$B$4),ISBLANK(#REF!),ISTEXT(#REF!))</xm:f>
          </x14:formula1>
          <xm:sqref>AL24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R37" sqref="R37:S37"/>
    </sheetView>
  </sheetViews>
  <sheetFormatPr defaultColWidth="11.42578125" defaultRowHeight="15"/>
  <cols>
    <col min="2" max="13" width="5.7109375" customWidth="1"/>
    <col min="14" max="14" width="8" customWidth="1"/>
    <col min="15" max="15" width="11.140625" customWidth="1"/>
    <col min="16" max="16" width="9.28515625" customWidth="1"/>
    <col min="17" max="17" width="7.140625" customWidth="1"/>
    <col min="18" max="18" width="5.7109375" customWidth="1"/>
    <col min="19" max="19" width="11.7109375" customWidth="1"/>
    <col min="20" max="20" width="7.140625" customWidth="1"/>
    <col min="21" max="21" width="22.28515625" customWidth="1"/>
    <col min="22" max="22" width="5.7109375" customWidth="1"/>
    <col min="23" max="23" width="9.28515625" customWidth="1"/>
    <col min="24" max="24" width="14.28515625" customWidth="1"/>
    <col min="25" max="25" width="16.42578125" customWidth="1"/>
    <col min="26" max="26" width="15" customWidth="1"/>
    <col min="27" max="27" width="18.140625" customWidth="1"/>
    <col min="28" max="28" width="5.7109375" customWidth="1"/>
    <col min="29" max="29" width="9.7109375" customWidth="1"/>
    <col min="30" max="30" width="5.7109375" customWidth="1"/>
    <col min="31" max="31" width="10.42578125" customWidth="1"/>
    <col min="32" max="32" width="5.7109375" customWidth="1"/>
    <col min="33" max="33" width="10.85546875" customWidth="1"/>
    <col min="34" max="36" width="5.7109375" customWidth="1"/>
    <col min="37" max="37" width="16" customWidth="1"/>
    <col min="38" max="38" width="5.7109375" customWidth="1"/>
    <col min="39" max="39" width="35.140625" customWidth="1"/>
    <col min="41" max="46" width="5.7109375" customWidth="1"/>
  </cols>
  <sheetData>
    <row r="1" spans="1:99">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row>
    <row r="2" spans="1:99" ht="18" customHeight="1">
      <c r="A2" s="42"/>
      <c r="B2" s="378" t="s">
        <v>594</v>
      </c>
      <c r="C2" s="378"/>
      <c r="D2" s="378"/>
      <c r="E2" s="378"/>
      <c r="F2" s="378"/>
      <c r="G2" s="378"/>
      <c r="H2" s="378"/>
      <c r="I2" s="378"/>
      <c r="J2" s="442" t="s">
        <v>15</v>
      </c>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row>
    <row r="3" spans="1:99" ht="18.75" customHeight="1">
      <c r="A3" s="42"/>
      <c r="B3" s="378"/>
      <c r="C3" s="378"/>
      <c r="D3" s="378"/>
      <c r="E3" s="378"/>
      <c r="F3" s="378"/>
      <c r="G3" s="378"/>
      <c r="H3" s="378"/>
      <c r="I3" s="378"/>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row>
    <row r="4" spans="1:99" ht="15" customHeight="1">
      <c r="A4" s="42"/>
      <c r="B4" s="378"/>
      <c r="C4" s="378"/>
      <c r="D4" s="378"/>
      <c r="E4" s="378"/>
      <c r="F4" s="378"/>
      <c r="G4" s="378"/>
      <c r="H4" s="378"/>
      <c r="I4" s="378"/>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row>
    <row r="5" spans="1:99" ht="15.75" thickBot="1">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row>
    <row r="6" spans="1:99" ht="15" customHeight="1">
      <c r="A6" s="42"/>
      <c r="B6" s="453" t="s">
        <v>578</v>
      </c>
      <c r="C6" s="453"/>
      <c r="D6" s="454"/>
      <c r="E6" s="443" t="s">
        <v>595</v>
      </c>
      <c r="F6" s="444"/>
      <c r="G6" s="444"/>
      <c r="H6" s="444"/>
      <c r="I6" s="445"/>
      <c r="J6" s="441" t="str">
        <f>IF(AND('Mapa final'!$O$15="Muy Alta",'Mapa final'!$S$15="Leve"),CONCATENATE("R",'Mapa final'!$A$15),"")</f>
        <v/>
      </c>
      <c r="K6" s="436"/>
      <c r="L6" s="436"/>
      <c r="M6" s="436"/>
      <c r="N6" s="436" t="str">
        <f>IF(AND('Mapa final'!$O$16="Muy Alta",'Mapa final'!$S$16="Leve"),CONCATENATE("R",'Mapa final'!$A$16),"")</f>
        <v/>
      </c>
      <c r="O6" s="437"/>
      <c r="P6" s="441" t="str">
        <f>IF(AND('Mapa final'!$O$15="Muy Alta",'Mapa final'!$S$15="Menor"),CONCATENATE("R",'Mapa final'!$A$15),"")</f>
        <v/>
      </c>
      <c r="Q6" s="436"/>
      <c r="R6" s="436"/>
      <c r="S6" s="436"/>
      <c r="T6" s="436" t="str">
        <f>IF(AND('Mapa final'!$O$16="Muy Alta",'Mapa final'!$S$16="Menor"),CONCATENATE("R",'Mapa final'!$A$16),"")</f>
        <v/>
      </c>
      <c r="U6" s="437"/>
      <c r="V6" s="441" t="str">
        <f>IF(AND('Mapa final'!$O$15="Muy Alta",'Mapa final'!$S$15="Moderado"),CONCATENATE("R",'Mapa final'!$A$15),"")</f>
        <v/>
      </c>
      <c r="W6" s="436"/>
      <c r="X6" s="436"/>
      <c r="Y6" s="436"/>
      <c r="Z6" s="436" t="str">
        <f>IF(AND('Mapa final'!$O$16="Muy Alta",'Mapa final'!$S$16="Moderado"),CONCATENATE("R",'Mapa final'!$A$16),"")</f>
        <v/>
      </c>
      <c r="AA6" s="437"/>
      <c r="AB6" s="441" t="str">
        <f>IF(AND('Mapa final'!$O$15="Muy Alta",'Mapa final'!$S$15="Mayor"),CONCATENATE("R",'Mapa final'!$A$15),"")</f>
        <v/>
      </c>
      <c r="AC6" s="436"/>
      <c r="AD6" s="436"/>
      <c r="AE6" s="436"/>
      <c r="AF6" s="436" t="str">
        <f>IF(AND('Mapa final'!$O$16="Muy Alta",'Mapa final'!$S$16="Mayor"),CONCATENATE("R",'Mapa final'!$A$16),"")</f>
        <v/>
      </c>
      <c r="AG6" s="437"/>
      <c r="AH6" s="415" t="str">
        <f>IF(AND('Mapa final'!$O$15="Muy Alta",'Mapa final'!$S$15="Catastrófico"),CONCATENATE("R",'Mapa final'!$A$15),"")</f>
        <v/>
      </c>
      <c r="AI6" s="416"/>
      <c r="AJ6" s="416"/>
      <c r="AK6" s="416"/>
      <c r="AL6" s="416" t="str">
        <f>IF(AND('Mapa final'!$O$16="Muy Alta",'Mapa final'!$S$16="Catastrófico"),CONCATENATE("R",'Mapa final'!$A$16),"")</f>
        <v/>
      </c>
      <c r="AM6" s="417"/>
      <c r="AO6" s="455" t="s">
        <v>596</v>
      </c>
      <c r="AP6" s="456"/>
      <c r="AQ6" s="456"/>
      <c r="AR6" s="456"/>
      <c r="AS6" s="456"/>
      <c r="AT6" s="457"/>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row>
    <row r="7" spans="1:99" ht="15" customHeight="1">
      <c r="A7" s="42"/>
      <c r="B7" s="453"/>
      <c r="C7" s="453"/>
      <c r="D7" s="454"/>
      <c r="E7" s="446"/>
      <c r="F7" s="447"/>
      <c r="G7" s="447"/>
      <c r="H7" s="447"/>
      <c r="I7" s="448"/>
      <c r="J7" s="440"/>
      <c r="K7" s="438"/>
      <c r="L7" s="438"/>
      <c r="M7" s="438"/>
      <c r="N7" s="438"/>
      <c r="O7" s="439"/>
      <c r="P7" s="440"/>
      <c r="Q7" s="438"/>
      <c r="R7" s="438"/>
      <c r="S7" s="438"/>
      <c r="T7" s="438"/>
      <c r="U7" s="439"/>
      <c r="V7" s="440"/>
      <c r="W7" s="438"/>
      <c r="X7" s="438"/>
      <c r="Y7" s="438"/>
      <c r="Z7" s="438"/>
      <c r="AA7" s="439"/>
      <c r="AB7" s="440"/>
      <c r="AC7" s="438"/>
      <c r="AD7" s="438"/>
      <c r="AE7" s="438"/>
      <c r="AF7" s="438"/>
      <c r="AG7" s="439"/>
      <c r="AH7" s="411"/>
      <c r="AI7" s="409"/>
      <c r="AJ7" s="409"/>
      <c r="AK7" s="409"/>
      <c r="AL7" s="409"/>
      <c r="AM7" s="410"/>
      <c r="AN7" s="42"/>
      <c r="AO7" s="458"/>
      <c r="AP7" s="459"/>
      <c r="AQ7" s="459"/>
      <c r="AR7" s="459"/>
      <c r="AS7" s="459"/>
      <c r="AT7" s="460"/>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row>
    <row r="8" spans="1:99" ht="15" customHeight="1">
      <c r="A8" s="42"/>
      <c r="B8" s="453"/>
      <c r="C8" s="453"/>
      <c r="D8" s="454"/>
      <c r="E8" s="446"/>
      <c r="F8" s="447"/>
      <c r="G8" s="447"/>
      <c r="H8" s="447"/>
      <c r="I8" s="448"/>
      <c r="J8" s="440" t="str">
        <f>IF(AND('Mapa final'!$O$17="Muy Alta",'Mapa final'!$S$17="Leve"),CONCATENATE("R",'Mapa final'!$A$17),"")</f>
        <v/>
      </c>
      <c r="K8" s="438"/>
      <c r="L8" s="438" t="str">
        <f>IF(AND('Mapa final'!$O$19="Muy Alta",'Mapa final'!$S$19="Leve"),CONCATENATE("R",'Mapa final'!$A$19),"")</f>
        <v/>
      </c>
      <c r="M8" s="438"/>
      <c r="N8" s="438" t="str">
        <f>IF(AND('Mapa final'!$O$23="Muy Alta",'Mapa final'!$S$23="Leve"),CONCATENATE("R",'Mapa final'!$A$23),"")</f>
        <v/>
      </c>
      <c r="O8" s="439"/>
      <c r="P8" s="440" t="str">
        <f>IF(AND('Mapa final'!$O$17="Muy Alta",'Mapa final'!$S$17="Menor"),CONCATENATE("R",'Mapa final'!$A$17),"")</f>
        <v/>
      </c>
      <c r="Q8" s="438"/>
      <c r="R8" s="438" t="str">
        <f>IF(AND('Mapa final'!$O$19="Muy Alta",'Mapa final'!$S$19="Menor"),CONCATENATE("R",'Mapa final'!$A$19),"")</f>
        <v/>
      </c>
      <c r="S8" s="438"/>
      <c r="T8" s="438" t="str">
        <f>IF(AND('Mapa final'!$O$23="Muy Alta",'Mapa final'!$S$23="Menor"),CONCATENATE("R",'Mapa final'!$A$23),"")</f>
        <v/>
      </c>
      <c r="U8" s="439"/>
      <c r="V8" s="440" t="str">
        <f>IF(AND('Mapa final'!$O$17="Muy Alta",'Mapa final'!$S$17="Moderado"),CONCATENATE("R",'Mapa final'!$A$17),"")</f>
        <v/>
      </c>
      <c r="W8" s="438"/>
      <c r="X8" s="438" t="str">
        <f>IF(AND('Mapa final'!$O$19="Muy Alta",'Mapa final'!$S$19="Moderado"),CONCATENATE("R",'Mapa final'!$A$19),"")</f>
        <v/>
      </c>
      <c r="Y8" s="438"/>
      <c r="Z8" s="438" t="str">
        <f>IF(AND('Mapa final'!$O$23="Muy Alta",'Mapa final'!$S$23="Moderado"),CONCATENATE("R",'Mapa final'!$A$23),"")</f>
        <v/>
      </c>
      <c r="AA8" s="439"/>
      <c r="AB8" s="440" t="str">
        <f>IF(AND('Mapa final'!$O$17="Muy Alta",'Mapa final'!$S$17="Mayor"),CONCATENATE("R",'Mapa final'!$A$17),"")</f>
        <v/>
      </c>
      <c r="AC8" s="438"/>
      <c r="AD8" s="438" t="str">
        <f>IF(AND('Mapa final'!$O$19="Muy Alta",'Mapa final'!$S$19="Mayor"),CONCATENATE("R",'Mapa final'!$A$19),"")</f>
        <v/>
      </c>
      <c r="AE8" s="438"/>
      <c r="AF8" s="438" t="str">
        <f>IF(AND('Mapa final'!$O$23="Muy Alta",'Mapa final'!$S$23="Mayor"),CONCATENATE("R",'Mapa final'!$A$23),"")</f>
        <v/>
      </c>
      <c r="AG8" s="439"/>
      <c r="AH8" s="411" t="str">
        <f>IF(AND('Mapa final'!$O$17="Muy Alta",'Mapa final'!$S$17="Catastrófico"),CONCATENATE("R",'Mapa final'!$A$17),"")</f>
        <v/>
      </c>
      <c r="AI8" s="409"/>
      <c r="AJ8" s="409" t="str">
        <f>IF(AND('Mapa final'!$O$19="Muy Alta",'Mapa final'!$S$19="Catastrófico"),CONCATENATE("R",'Mapa final'!$A$19),"")</f>
        <v/>
      </c>
      <c r="AK8" s="409"/>
      <c r="AL8" s="409" t="str">
        <f>IF(AND('Mapa final'!$O$23="Muy Alta",'Mapa final'!$S$23="Catastrófico"),CONCATENATE("R",'Mapa final'!$A$23),"")</f>
        <v/>
      </c>
      <c r="AM8" s="410"/>
      <c r="AN8" s="42"/>
      <c r="AO8" s="458"/>
      <c r="AP8" s="459"/>
      <c r="AQ8" s="459"/>
      <c r="AR8" s="459"/>
      <c r="AS8" s="459"/>
      <c r="AT8" s="460"/>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row>
    <row r="9" spans="1:99" ht="15" customHeight="1">
      <c r="A9" s="42"/>
      <c r="B9" s="453"/>
      <c r="C9" s="453"/>
      <c r="D9" s="454"/>
      <c r="E9" s="446"/>
      <c r="F9" s="447"/>
      <c r="G9" s="447"/>
      <c r="H9" s="447"/>
      <c r="I9" s="448"/>
      <c r="J9" s="440"/>
      <c r="K9" s="438"/>
      <c r="L9" s="438"/>
      <c r="M9" s="438"/>
      <c r="N9" s="438"/>
      <c r="O9" s="439"/>
      <c r="P9" s="440"/>
      <c r="Q9" s="438"/>
      <c r="R9" s="438"/>
      <c r="S9" s="438"/>
      <c r="T9" s="438"/>
      <c r="U9" s="439"/>
      <c r="V9" s="440"/>
      <c r="W9" s="438"/>
      <c r="X9" s="438"/>
      <c r="Y9" s="438"/>
      <c r="Z9" s="438"/>
      <c r="AA9" s="439"/>
      <c r="AB9" s="440"/>
      <c r="AC9" s="438"/>
      <c r="AD9" s="438"/>
      <c r="AE9" s="438"/>
      <c r="AF9" s="438"/>
      <c r="AG9" s="439"/>
      <c r="AH9" s="411"/>
      <c r="AI9" s="409"/>
      <c r="AJ9" s="409"/>
      <c r="AK9" s="409"/>
      <c r="AL9" s="409"/>
      <c r="AM9" s="410"/>
      <c r="AN9" s="42"/>
      <c r="AO9" s="458"/>
      <c r="AP9" s="459"/>
      <c r="AQ9" s="459"/>
      <c r="AR9" s="459"/>
      <c r="AS9" s="459"/>
      <c r="AT9" s="460"/>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row>
    <row r="10" spans="1:99" ht="15" customHeight="1">
      <c r="A10" s="42"/>
      <c r="B10" s="453"/>
      <c r="C10" s="453"/>
      <c r="D10" s="454"/>
      <c r="E10" s="446"/>
      <c r="F10" s="447"/>
      <c r="G10" s="447"/>
      <c r="H10" s="447"/>
      <c r="I10" s="448"/>
      <c r="J10" s="440" t="str">
        <f>IF(AND('Mapa final'!$O$24="Muy Alta",'Mapa final'!$S$24="Leve"),CONCATENATE("R",'Mapa final'!$A$24),"")</f>
        <v/>
      </c>
      <c r="K10" s="438"/>
      <c r="L10" s="438" t="str">
        <f>IF(AND('Mapa final'!$O$25="Muy Alta",'Mapa final'!$S$25="Leve"),CONCATENATE("R",'Mapa final'!$A$25),"")</f>
        <v/>
      </c>
      <c r="M10" s="438"/>
      <c r="N10" s="438" t="str">
        <f>IF(AND('Mapa final'!$O$27="Muy Alta",'Mapa final'!$S$27="Leve"),CONCATENATE("R",'Mapa final'!$A$27),"")</f>
        <v/>
      </c>
      <c r="O10" s="439"/>
      <c r="P10" s="440" t="str">
        <f>IF(AND('Mapa final'!$O$24="Muy Alta",'Mapa final'!$S$24="Menor"),CONCATENATE("R",'Mapa final'!$A$24),"")</f>
        <v/>
      </c>
      <c r="Q10" s="438"/>
      <c r="R10" s="438" t="str">
        <f>IF(AND('Mapa final'!$O$25="Muy Alta",'Mapa final'!$S$25="Menor"),CONCATENATE("R",'Mapa final'!$A$25),"")</f>
        <v/>
      </c>
      <c r="S10" s="438"/>
      <c r="T10" s="438" t="str">
        <f>IF(AND('Mapa final'!$O$27="Muy Alta",'Mapa final'!$S$27="Menor"),CONCATENATE("R",'Mapa final'!$A$27),"")</f>
        <v/>
      </c>
      <c r="U10" s="439"/>
      <c r="V10" s="440" t="str">
        <f>IF(AND('Mapa final'!$O$24="Muy Alta",'Mapa final'!$S$24="Moderado"),CONCATENATE("R",'Mapa final'!$A$24),"")</f>
        <v/>
      </c>
      <c r="W10" s="438"/>
      <c r="X10" s="438" t="str">
        <f>IF(AND('Mapa final'!$O$25="Muy Alta",'Mapa final'!$S$25="Moderado"),CONCATENATE("R",'Mapa final'!$A$25),"")</f>
        <v/>
      </c>
      <c r="Y10" s="438"/>
      <c r="Z10" s="438" t="str">
        <f>IF(AND('Mapa final'!$O$27="Muy Alta",'Mapa final'!$S$27="Moderado"),CONCATENATE("R",'Mapa final'!$A$27),"")</f>
        <v/>
      </c>
      <c r="AA10" s="439"/>
      <c r="AB10" s="440" t="str">
        <f>IF(AND('Mapa final'!$O$24="Muy Alta",'Mapa final'!$S$24="Mayor"),CONCATENATE("R",'Mapa final'!$A$24),"")</f>
        <v/>
      </c>
      <c r="AC10" s="438"/>
      <c r="AD10" s="438" t="str">
        <f>IF(AND('Mapa final'!$O$25="Muy Alta",'Mapa final'!$S$25="Mayor"),CONCATENATE("R",'Mapa final'!$A$25),"")</f>
        <v/>
      </c>
      <c r="AE10" s="438"/>
      <c r="AF10" s="438" t="str">
        <f>IF(AND('Mapa final'!$O$27="Muy Alta",'Mapa final'!$S$27="Mayor"),CONCATENATE("R",'Mapa final'!$A$27),"")</f>
        <v/>
      </c>
      <c r="AG10" s="439"/>
      <c r="AH10" s="411" t="str">
        <f>IF(AND('Mapa final'!$O$24="Muy Alta",'Mapa final'!$S$24="Catastrófico"),CONCATENATE("R",'Mapa final'!$A$24),"")</f>
        <v/>
      </c>
      <c r="AI10" s="409"/>
      <c r="AJ10" s="409" t="str">
        <f>IF(AND('Mapa final'!$O$25="Muy Alta",'Mapa final'!$S$25="Catastrófico"),CONCATENATE("R",'Mapa final'!$A$25),"")</f>
        <v/>
      </c>
      <c r="AK10" s="409"/>
      <c r="AL10" s="409" t="str">
        <f>IF(AND('Mapa final'!$O$27="Muy Alta",'Mapa final'!$S$27="Catastrófico"),CONCATENATE("R",'Mapa final'!$A$27),"")</f>
        <v/>
      </c>
      <c r="AM10" s="410"/>
      <c r="AN10" s="42"/>
      <c r="AO10" s="458"/>
      <c r="AP10" s="459"/>
      <c r="AQ10" s="459"/>
      <c r="AR10" s="459"/>
      <c r="AS10" s="459"/>
      <c r="AT10" s="460"/>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row>
    <row r="11" spans="1:99" ht="15" customHeight="1">
      <c r="A11" s="42"/>
      <c r="B11" s="453"/>
      <c r="C11" s="453"/>
      <c r="D11" s="454"/>
      <c r="E11" s="446"/>
      <c r="F11" s="447"/>
      <c r="G11" s="447"/>
      <c r="H11" s="447"/>
      <c r="I11" s="448"/>
      <c r="J11" s="440"/>
      <c r="K11" s="438"/>
      <c r="L11" s="438"/>
      <c r="M11" s="438"/>
      <c r="N11" s="438"/>
      <c r="O11" s="439"/>
      <c r="P11" s="440"/>
      <c r="Q11" s="438"/>
      <c r="R11" s="438"/>
      <c r="S11" s="438"/>
      <c r="T11" s="438"/>
      <c r="U11" s="439"/>
      <c r="V11" s="440"/>
      <c r="W11" s="438"/>
      <c r="X11" s="438"/>
      <c r="Y11" s="438"/>
      <c r="Z11" s="438"/>
      <c r="AA11" s="439"/>
      <c r="AB11" s="440"/>
      <c r="AC11" s="438"/>
      <c r="AD11" s="438"/>
      <c r="AE11" s="438"/>
      <c r="AF11" s="438"/>
      <c r="AG11" s="439"/>
      <c r="AH11" s="411"/>
      <c r="AI11" s="409"/>
      <c r="AJ11" s="409"/>
      <c r="AK11" s="409"/>
      <c r="AL11" s="409"/>
      <c r="AM11" s="410"/>
      <c r="AN11" s="42"/>
      <c r="AO11" s="458"/>
      <c r="AP11" s="459"/>
      <c r="AQ11" s="459"/>
      <c r="AR11" s="459"/>
      <c r="AS11" s="459"/>
      <c r="AT11" s="460"/>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row>
    <row r="12" spans="1:99" ht="15" customHeight="1">
      <c r="A12" s="42"/>
      <c r="B12" s="453"/>
      <c r="C12" s="453"/>
      <c r="D12" s="454"/>
      <c r="E12" s="446"/>
      <c r="F12" s="447"/>
      <c r="G12" s="447"/>
      <c r="H12" s="447"/>
      <c r="I12" s="448"/>
      <c r="J12" s="440" t="str">
        <f>IF(AND('Mapa final'!$O$29="Muy Alta",'Mapa final'!$S$29="Leve"),CONCATENATE("R",'Mapa final'!$A$29),"")</f>
        <v/>
      </c>
      <c r="K12" s="438"/>
      <c r="L12" s="438" t="str">
        <f>IF(AND('Mapa final'!$O$30="Muy Alta",'Mapa final'!$S$30="Leve"),CONCATENATE("R",'Mapa final'!$A$30),"")</f>
        <v/>
      </c>
      <c r="M12" s="438"/>
      <c r="N12" s="438" t="str">
        <f>IF(AND('Mapa final'!$O$30="Muy Alta",'Mapa final'!$S$30="Leve"),CONCATENATE("R",'Mapa final'!$A$30),"")</f>
        <v/>
      </c>
      <c r="O12" s="438"/>
      <c r="P12" s="440" t="str">
        <f>IF(AND('Mapa final'!$O$29="Muy Alta",'Mapa final'!$S$29="Menor"),CONCATENATE("R",'Mapa final'!$A$29),"")</f>
        <v/>
      </c>
      <c r="Q12" s="438"/>
      <c r="R12" s="438" t="str">
        <f>IF(AND('Mapa final'!$O$30="Muy Alta",'Mapa final'!$S$30="Menor"),CONCATENATE("R",'Mapa final'!$A$30),"")</f>
        <v/>
      </c>
      <c r="S12" s="438"/>
      <c r="T12" s="438"/>
      <c r="U12" s="439"/>
      <c r="V12" s="440" t="str">
        <f>IF(AND('Mapa final'!$O$29="Muy Alta",'Mapa final'!$S$29="Moderado"),CONCATENATE("R",'Mapa final'!$A$29),"")</f>
        <v/>
      </c>
      <c r="W12" s="438"/>
      <c r="X12" s="438" t="str">
        <f>IF(AND('Mapa final'!$O$30="Muy Alta",'Mapa final'!$S$30="Moderado"),CONCATENATE("R",'Mapa final'!$A$30),"")</f>
        <v/>
      </c>
      <c r="Y12" s="438"/>
      <c r="Z12" s="438"/>
      <c r="AA12" s="439"/>
      <c r="AB12" s="440" t="str">
        <f>IF(AND('Mapa final'!$O$29="Muy Alta",'Mapa final'!$S$29="Mayor"),CONCATENATE("R",'Mapa final'!$A$29),"")</f>
        <v/>
      </c>
      <c r="AC12" s="438"/>
      <c r="AD12" s="438" t="str">
        <f>IF(AND('Mapa final'!$O$30="Muy Alta",'Mapa final'!$S$30="Mayor"),CONCATENATE("R",'Mapa final'!$A$30),"")</f>
        <v/>
      </c>
      <c r="AE12" s="438"/>
      <c r="AF12" s="438" t="str">
        <f>IF(AND('Mapa final'!$O$42="Muy Alta",'Mapa final'!$S$42="Mayor"),CONCATENATE("R",'Mapa final'!$A$42),"")</f>
        <v>RG18</v>
      </c>
      <c r="AG12" s="438"/>
      <c r="AH12" s="411" t="str">
        <f>IF(AND('Mapa final'!$O$29="Muy Alta",'Mapa final'!$S$29="Catastrófico"),CONCATENATE("R",'Mapa final'!$A$29),"")</f>
        <v/>
      </c>
      <c r="AI12" s="409"/>
      <c r="AJ12" s="409" t="str">
        <f>IF(AND('Mapa final'!$O$30="Muy Alta",'Mapa final'!$S$30="Catastrófico"),CONCATENATE("R",'Mapa final'!$A$30),"")</f>
        <v/>
      </c>
      <c r="AK12" s="409"/>
      <c r="AL12" s="409"/>
      <c r="AM12" s="410"/>
      <c r="AN12" s="42"/>
      <c r="AO12" s="458"/>
      <c r="AP12" s="459"/>
      <c r="AQ12" s="459"/>
      <c r="AR12" s="459"/>
      <c r="AS12" s="459"/>
      <c r="AT12" s="460"/>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row>
    <row r="13" spans="1:99" ht="15.75" customHeight="1" thickBot="1">
      <c r="A13" s="42"/>
      <c r="B13" s="453"/>
      <c r="C13" s="453"/>
      <c r="D13" s="454"/>
      <c r="E13" s="449"/>
      <c r="F13" s="450"/>
      <c r="G13" s="450"/>
      <c r="H13" s="450"/>
      <c r="I13" s="451"/>
      <c r="J13" s="440"/>
      <c r="K13" s="438"/>
      <c r="L13" s="438"/>
      <c r="M13" s="438"/>
      <c r="N13" s="438"/>
      <c r="O13" s="438"/>
      <c r="P13" s="440"/>
      <c r="Q13" s="438"/>
      <c r="R13" s="438"/>
      <c r="S13" s="438"/>
      <c r="T13" s="438"/>
      <c r="U13" s="439"/>
      <c r="V13" s="440"/>
      <c r="W13" s="438"/>
      <c r="X13" s="438"/>
      <c r="Y13" s="438"/>
      <c r="Z13" s="438"/>
      <c r="AA13" s="439"/>
      <c r="AB13" s="440"/>
      <c r="AC13" s="438"/>
      <c r="AD13" s="438"/>
      <c r="AE13" s="438"/>
      <c r="AF13" s="438"/>
      <c r="AG13" s="438"/>
      <c r="AH13" s="412"/>
      <c r="AI13" s="413"/>
      <c r="AJ13" s="413"/>
      <c r="AK13" s="413"/>
      <c r="AL13" s="413"/>
      <c r="AM13" s="414"/>
      <c r="AN13" s="42"/>
      <c r="AO13" s="461"/>
      <c r="AP13" s="462"/>
      <c r="AQ13" s="462"/>
      <c r="AR13" s="462"/>
      <c r="AS13" s="462"/>
      <c r="AT13" s="463"/>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row>
    <row r="14" spans="1:99" ht="15" customHeight="1">
      <c r="A14" s="42"/>
      <c r="B14" s="453"/>
      <c r="C14" s="453"/>
      <c r="D14" s="454"/>
      <c r="E14" s="443" t="s">
        <v>597</v>
      </c>
      <c r="F14" s="444"/>
      <c r="G14" s="444"/>
      <c r="H14" s="444"/>
      <c r="I14" s="444"/>
      <c r="J14" s="405" t="str">
        <f>IF(AND('Mapa final'!$O$15="Alta",'Mapa final'!$S$15="Leve"),CONCATENATE("R",'Mapa final'!$A$15),"")</f>
        <v/>
      </c>
      <c r="K14" s="406"/>
      <c r="L14" s="399"/>
      <c r="M14" s="399"/>
      <c r="N14" s="399" t="str">
        <f>IF(AND('Mapa final'!$O$16="Alta",'Mapa final'!$S$16="Leve"),CONCATENATE("R",'Mapa final'!$A$16),"")</f>
        <v/>
      </c>
      <c r="O14" s="400"/>
      <c r="P14" s="402" t="str">
        <f>IF(AND('Mapa final'!$O$15="Alta",'Mapa final'!$S$15="Menor"),CONCATENATE("R",'Mapa final'!$A$15),"")</f>
        <v/>
      </c>
      <c r="Q14" s="399"/>
      <c r="R14" s="399"/>
      <c r="S14" s="399"/>
      <c r="T14" s="399" t="str">
        <f>IF(AND('Mapa final'!$O$16="Alta",'Mapa final'!$S$16="Menor"),CONCATENATE("R",'Mapa final'!$A$16),"")</f>
        <v/>
      </c>
      <c r="U14" s="400"/>
      <c r="V14" s="433" t="str">
        <f>IF(AND('Mapa final'!$O$15="Alta",'Mapa final'!$S$15="Moderado"),CONCATENATE("R",'Mapa final'!$A$15),"")</f>
        <v/>
      </c>
      <c r="W14" s="434"/>
      <c r="X14" s="434"/>
      <c r="Y14" s="434"/>
      <c r="Z14" s="434" t="str">
        <f>IF(AND('Mapa final'!$O$16="Alta",'Mapa final'!$S$16="Moderado"),CONCATENATE("R",'Mapa final'!$A$16),"")</f>
        <v/>
      </c>
      <c r="AA14" s="435"/>
      <c r="AB14" s="433" t="str">
        <f>IF(AND('Mapa final'!$O$15="Alta",'Mapa final'!$S$15="Mayor"),CONCATENATE("R",'Mapa final'!$A$15),"")</f>
        <v/>
      </c>
      <c r="AC14" s="434"/>
      <c r="AD14" s="434"/>
      <c r="AE14" s="434"/>
      <c r="AF14" s="434" t="str">
        <f>IF(AND('Mapa final'!$O$16="Alta",'Mapa final'!$S$16="Mayor"),CONCATENATE("R",'Mapa final'!$A$16),"")</f>
        <v/>
      </c>
      <c r="AG14" s="435"/>
      <c r="AH14" s="415" t="str">
        <f>IF(AND('Mapa final'!$O$15="Alta",'Mapa final'!$S$15="Catastrófico"),CONCATENATE("R",'Mapa final'!$A$15),"")</f>
        <v/>
      </c>
      <c r="AI14" s="416"/>
      <c r="AJ14" s="416"/>
      <c r="AK14" s="416"/>
      <c r="AL14" s="416" t="str">
        <f>IF(AND('Mapa final'!$O$16="Alta",'Mapa final'!$S$16="Catastrófico"),CONCATENATE("R",'Mapa final'!$A$16),"")</f>
        <v/>
      </c>
      <c r="AM14" s="417"/>
      <c r="AN14" s="42"/>
      <c r="AO14" s="464" t="s">
        <v>598</v>
      </c>
      <c r="AP14" s="465"/>
      <c r="AQ14" s="465"/>
      <c r="AR14" s="465"/>
      <c r="AS14" s="465"/>
      <c r="AT14" s="466"/>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row>
    <row r="15" spans="1:99" ht="15" customHeight="1">
      <c r="A15" s="42"/>
      <c r="B15" s="453"/>
      <c r="C15" s="453"/>
      <c r="D15" s="454"/>
      <c r="E15" s="446"/>
      <c r="F15" s="447"/>
      <c r="G15" s="447"/>
      <c r="H15" s="447"/>
      <c r="I15" s="447"/>
      <c r="J15" s="403"/>
      <c r="K15" s="404"/>
      <c r="L15" s="395"/>
      <c r="M15" s="395"/>
      <c r="N15" s="395"/>
      <c r="O15" s="396"/>
      <c r="P15" s="394"/>
      <c r="Q15" s="395"/>
      <c r="R15" s="395"/>
      <c r="S15" s="395"/>
      <c r="T15" s="395"/>
      <c r="U15" s="396"/>
      <c r="V15" s="427"/>
      <c r="W15" s="428"/>
      <c r="X15" s="428"/>
      <c r="Y15" s="428"/>
      <c r="Z15" s="428"/>
      <c r="AA15" s="429"/>
      <c r="AB15" s="427"/>
      <c r="AC15" s="428"/>
      <c r="AD15" s="428"/>
      <c r="AE15" s="428"/>
      <c r="AF15" s="428"/>
      <c r="AG15" s="429"/>
      <c r="AH15" s="411"/>
      <c r="AI15" s="409"/>
      <c r="AJ15" s="409"/>
      <c r="AK15" s="409"/>
      <c r="AL15" s="409"/>
      <c r="AM15" s="410"/>
      <c r="AN15" s="42"/>
      <c r="AO15" s="467"/>
      <c r="AP15" s="468"/>
      <c r="AQ15" s="468"/>
      <c r="AR15" s="468"/>
      <c r="AS15" s="468"/>
      <c r="AT15" s="469"/>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row>
    <row r="16" spans="1:99" ht="15" customHeight="1">
      <c r="A16" s="42"/>
      <c r="B16" s="453"/>
      <c r="C16" s="453"/>
      <c r="D16" s="454"/>
      <c r="E16" s="446"/>
      <c r="F16" s="447"/>
      <c r="G16" s="447"/>
      <c r="H16" s="447"/>
      <c r="I16" s="447"/>
      <c r="J16" s="403" t="str">
        <f>IF(AND('Mapa final'!$O$17="Alta",'Mapa final'!$S$17="Leve"),CONCATENATE("R",'Mapa final'!$A$17),"")</f>
        <v/>
      </c>
      <c r="K16" s="404"/>
      <c r="L16" s="395" t="str">
        <f>IF(AND('Mapa final'!$O$19="Alta",'Mapa final'!$S$19="Leve"),CONCATENATE("R",'Mapa final'!$A$19),"")</f>
        <v/>
      </c>
      <c r="M16" s="395"/>
      <c r="N16" s="395" t="str">
        <f>IF(AND('Mapa final'!$O$23="Alta",'Mapa final'!$S$23="Leve"),CONCATENATE("R",'Mapa final'!$A$23),"")</f>
        <v/>
      </c>
      <c r="O16" s="396"/>
      <c r="P16" s="394" t="str">
        <f>IF(AND('Mapa final'!$O$17="Alta",'Mapa final'!$S$17="Menor"),CONCATENATE("R",'Mapa final'!$A$17),"")</f>
        <v/>
      </c>
      <c r="Q16" s="395"/>
      <c r="R16" s="395" t="str">
        <f>IF(AND('Mapa final'!$O$19="Alta",'Mapa final'!$S$19="Menor"),CONCATENATE("R",'Mapa final'!$A$19),"")</f>
        <v/>
      </c>
      <c r="S16" s="395"/>
      <c r="T16" s="395" t="str">
        <f>IF(AND('Mapa final'!$O$23="Alta",'Mapa final'!$S$23="Menor"),CONCATENATE("R",'Mapa final'!$A$23),"")</f>
        <v/>
      </c>
      <c r="U16" s="396"/>
      <c r="V16" s="427" t="str">
        <f>IF(AND('Mapa final'!$O$17="Alta",'Mapa final'!$S$17="Moderado"),CONCATENATE("R",'Mapa final'!$A$17),"")</f>
        <v/>
      </c>
      <c r="W16" s="428"/>
      <c r="X16" s="428" t="str">
        <f>IF(AND('Mapa final'!$O$19="Alta",'Mapa final'!$S$19="Moderado"),CONCATENATE("R",'Mapa final'!$A$19),"")</f>
        <v/>
      </c>
      <c r="Y16" s="428"/>
      <c r="Z16" s="428" t="str">
        <f>IF(AND('Mapa final'!$O$23="Alta",'Mapa final'!$S$23="Moderado"),CONCATENATE("R",'Mapa final'!$A$23),"")</f>
        <v/>
      </c>
      <c r="AA16" s="429"/>
      <c r="AB16" s="427" t="str">
        <f>IF(AND('Mapa final'!$O$17="Alta",'Mapa final'!$S$17="Mayor"),CONCATENATE("R",'Mapa final'!$A$17),"")</f>
        <v/>
      </c>
      <c r="AC16" s="428"/>
      <c r="AD16" s="428" t="str">
        <f>IF(AND('Mapa final'!$O$19="Alta",'Mapa final'!$S$19="Mayor"),CONCATENATE("R",'Mapa final'!$A$19),"")</f>
        <v/>
      </c>
      <c r="AE16" s="428"/>
      <c r="AF16" s="428" t="str">
        <f>IF(AND('Mapa final'!$O$23="Alta",'Mapa final'!$S$23="Mayor"),CONCATENATE("R",'Mapa final'!$A$23),"")</f>
        <v/>
      </c>
      <c r="AG16" s="429"/>
      <c r="AH16" s="411" t="str">
        <f>IF(AND('Mapa final'!$O$17="Alta",'Mapa final'!$S$17="Catastrófico"),CONCATENATE("R",'Mapa final'!$A$17),"")</f>
        <v/>
      </c>
      <c r="AI16" s="409"/>
      <c r="AJ16" s="409" t="str">
        <f>IF(AND('Mapa final'!$O$19="Alta",'Mapa final'!$S$19="Catastrófico"),CONCATENATE("R",'Mapa final'!$A$19),"")</f>
        <v/>
      </c>
      <c r="AK16" s="409"/>
      <c r="AL16" s="409" t="str">
        <f>IF(AND('Mapa final'!$O$23="Alta",'Mapa final'!$S$23="Catastrófico"),CONCATENATE("R",'Mapa final'!$A$23),"")</f>
        <v/>
      </c>
      <c r="AM16" s="410"/>
      <c r="AN16" s="42"/>
      <c r="AO16" s="467"/>
      <c r="AP16" s="468"/>
      <c r="AQ16" s="468"/>
      <c r="AR16" s="468"/>
      <c r="AS16" s="468"/>
      <c r="AT16" s="469"/>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row>
    <row r="17" spans="1:80" ht="15" customHeight="1">
      <c r="A17" s="42"/>
      <c r="B17" s="453"/>
      <c r="C17" s="453"/>
      <c r="D17" s="454"/>
      <c r="E17" s="446"/>
      <c r="F17" s="447"/>
      <c r="G17" s="447"/>
      <c r="H17" s="447"/>
      <c r="I17" s="447"/>
      <c r="J17" s="403"/>
      <c r="K17" s="404"/>
      <c r="L17" s="395"/>
      <c r="M17" s="395"/>
      <c r="N17" s="395"/>
      <c r="O17" s="396"/>
      <c r="P17" s="394"/>
      <c r="Q17" s="395"/>
      <c r="R17" s="395"/>
      <c r="S17" s="395"/>
      <c r="T17" s="395"/>
      <c r="U17" s="396"/>
      <c r="V17" s="427"/>
      <c r="W17" s="428"/>
      <c r="X17" s="428"/>
      <c r="Y17" s="428"/>
      <c r="Z17" s="428"/>
      <c r="AA17" s="429"/>
      <c r="AB17" s="427"/>
      <c r="AC17" s="428"/>
      <c r="AD17" s="428"/>
      <c r="AE17" s="428"/>
      <c r="AF17" s="428"/>
      <c r="AG17" s="429"/>
      <c r="AH17" s="411"/>
      <c r="AI17" s="409"/>
      <c r="AJ17" s="409"/>
      <c r="AK17" s="409"/>
      <c r="AL17" s="409"/>
      <c r="AM17" s="410"/>
      <c r="AN17" s="42"/>
      <c r="AO17" s="467"/>
      <c r="AP17" s="468"/>
      <c r="AQ17" s="468"/>
      <c r="AR17" s="468"/>
      <c r="AS17" s="468"/>
      <c r="AT17" s="469"/>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row>
    <row r="18" spans="1:80" ht="15" customHeight="1">
      <c r="A18" s="42"/>
      <c r="B18" s="453"/>
      <c r="C18" s="453"/>
      <c r="D18" s="454"/>
      <c r="E18" s="446"/>
      <c r="F18" s="447"/>
      <c r="G18" s="447"/>
      <c r="H18" s="447"/>
      <c r="I18" s="447"/>
      <c r="J18" s="403" t="str">
        <f>IF(AND('Mapa final'!$O$24="Alta",'Mapa final'!$S$24="Leve"),CONCATENATE("R",'Mapa final'!$A$24),"")</f>
        <v/>
      </c>
      <c r="K18" s="404"/>
      <c r="L18" s="395" t="str">
        <f>IF(AND('Mapa final'!$O$25="Alta",'Mapa final'!$S$25="Leve"),CONCATENATE("R",'Mapa final'!$A$25),"")</f>
        <v/>
      </c>
      <c r="M18" s="395"/>
      <c r="N18" s="395" t="str">
        <f>IF(AND('Mapa final'!$O$27="Alta",'Mapa final'!$S$27="Leve"),CONCATENATE("R",'Mapa final'!$A$27),"")</f>
        <v/>
      </c>
      <c r="O18" s="396"/>
      <c r="P18" s="394" t="str">
        <f>IF(AND('Mapa final'!$O$24="Alta",'Mapa final'!$S$24="Menor"),CONCATENATE("R",'Mapa final'!$A$24),"")</f>
        <v/>
      </c>
      <c r="Q18" s="395"/>
      <c r="R18" s="395" t="str">
        <f>IF(AND('Mapa final'!$O$25="Alta",'Mapa final'!$S$25="Menor"),CONCATENATE("R",'Mapa final'!$A$25),"")</f>
        <v/>
      </c>
      <c r="S18" s="395"/>
      <c r="T18" s="395" t="str">
        <f>IF(AND('Mapa final'!$O$27="Alta",'Mapa final'!$S$27="Menor"),CONCATENATE("R",'Mapa final'!$A$27),"")</f>
        <v/>
      </c>
      <c r="U18" s="396"/>
      <c r="V18" s="427" t="str">
        <f>IF(AND('Mapa final'!$O$24="Alta",'Mapa final'!$S$24="Moderado"),CONCATENATE("R",'Mapa final'!$A$24),"")</f>
        <v/>
      </c>
      <c r="W18" s="428"/>
      <c r="X18" s="428" t="str">
        <f>IF(AND('Mapa final'!$O$25="Alta",'Mapa final'!$S$25="Moderado"),CONCATENATE("R",'Mapa final'!$A$25),"")</f>
        <v/>
      </c>
      <c r="Y18" s="428"/>
      <c r="Z18" s="428" t="str">
        <f>IF(AND('Mapa final'!$O$27="Alta",'Mapa final'!$S$27="Moderado"),CONCATENATE("R",'Mapa final'!$A$27),"")</f>
        <v/>
      </c>
      <c r="AA18" s="429"/>
      <c r="AB18" s="427" t="str">
        <f>IF(AND('Mapa final'!$O$24="Alta",'Mapa final'!$S$24="Mayor"),CONCATENATE("R",'Mapa final'!$A$24),"")</f>
        <v/>
      </c>
      <c r="AC18" s="428"/>
      <c r="AD18" s="428" t="str">
        <f>IF(AND('Mapa final'!$O$25="Alta",'Mapa final'!$S$25="Mayor"),CONCATENATE("R",'Mapa final'!$A$25),"")</f>
        <v/>
      </c>
      <c r="AE18" s="428"/>
      <c r="AF18" s="428" t="str">
        <f>IF(AND('Mapa final'!$O$27="Alta",'Mapa final'!$S$27="Mayor"),CONCATENATE("R",'Mapa final'!$A$27),"")</f>
        <v/>
      </c>
      <c r="AG18" s="429"/>
      <c r="AH18" s="411" t="str">
        <f>IF(AND('Mapa final'!$O$24="Alta",'Mapa final'!$S$24="Catastrófico"),CONCATENATE("R",'Mapa final'!$A$24),"")</f>
        <v/>
      </c>
      <c r="AI18" s="409"/>
      <c r="AJ18" s="409" t="str">
        <f>IF(AND('Mapa final'!$O$25="Alta",'Mapa final'!$S$25="Catastrófico"),CONCATENATE("R",'Mapa final'!$A$25),"")</f>
        <v/>
      </c>
      <c r="AK18" s="409"/>
      <c r="AL18" s="409" t="str">
        <f>IF(AND('Mapa final'!$O$27="Alta",'Mapa final'!$S$27="Catastrófico"),CONCATENATE("R",'Mapa final'!$A$27),"")</f>
        <v/>
      </c>
      <c r="AM18" s="410"/>
      <c r="AN18" s="42"/>
      <c r="AO18" s="467"/>
      <c r="AP18" s="468"/>
      <c r="AQ18" s="468"/>
      <c r="AR18" s="468"/>
      <c r="AS18" s="468"/>
      <c r="AT18" s="469"/>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row>
    <row r="19" spans="1:80" ht="15" customHeight="1">
      <c r="A19" s="42"/>
      <c r="B19" s="453"/>
      <c r="C19" s="453"/>
      <c r="D19" s="454"/>
      <c r="E19" s="446"/>
      <c r="F19" s="447"/>
      <c r="G19" s="447"/>
      <c r="H19" s="447"/>
      <c r="I19" s="447"/>
      <c r="J19" s="403"/>
      <c r="K19" s="404"/>
      <c r="L19" s="395"/>
      <c r="M19" s="395"/>
      <c r="N19" s="395"/>
      <c r="O19" s="396"/>
      <c r="P19" s="394"/>
      <c r="Q19" s="395"/>
      <c r="R19" s="395"/>
      <c r="S19" s="395"/>
      <c r="T19" s="395"/>
      <c r="U19" s="396"/>
      <c r="V19" s="427"/>
      <c r="W19" s="428"/>
      <c r="X19" s="428"/>
      <c r="Y19" s="428"/>
      <c r="Z19" s="428"/>
      <c r="AA19" s="429"/>
      <c r="AB19" s="427"/>
      <c r="AC19" s="428"/>
      <c r="AD19" s="428"/>
      <c r="AE19" s="428"/>
      <c r="AF19" s="428"/>
      <c r="AG19" s="429"/>
      <c r="AH19" s="411"/>
      <c r="AI19" s="409"/>
      <c r="AJ19" s="409"/>
      <c r="AK19" s="409"/>
      <c r="AL19" s="409"/>
      <c r="AM19" s="410"/>
      <c r="AN19" s="42"/>
      <c r="AO19" s="467"/>
      <c r="AP19" s="468"/>
      <c r="AQ19" s="468"/>
      <c r="AR19" s="468"/>
      <c r="AS19" s="468"/>
      <c r="AT19" s="469"/>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row>
    <row r="20" spans="1:80" ht="15" customHeight="1">
      <c r="A20" s="42"/>
      <c r="B20" s="453"/>
      <c r="C20" s="453"/>
      <c r="D20" s="454"/>
      <c r="E20" s="446"/>
      <c r="F20" s="447"/>
      <c r="G20" s="447"/>
      <c r="H20" s="447"/>
      <c r="I20" s="447"/>
      <c r="J20" s="403" t="str">
        <f>IF(AND('Mapa final'!$O$29="Alta",'Mapa final'!$S$29="Leve"),CONCATENATE("R",'Mapa final'!$A$29),"")</f>
        <v/>
      </c>
      <c r="K20" s="404"/>
      <c r="L20" s="395" t="str">
        <f>IF(AND('Mapa final'!$O$30="Alta",'Mapa final'!$S$30="Leve"),CONCATENATE("R",'Mapa final'!$A$30),"")</f>
        <v/>
      </c>
      <c r="M20" s="395"/>
      <c r="N20" s="395"/>
      <c r="O20" s="396"/>
      <c r="P20" s="394" t="str">
        <f>IF(AND('Mapa final'!$O$29="Alta",'Mapa final'!$S$29="Menor"),CONCATENATE("R",'Mapa final'!$A$29),"")</f>
        <v/>
      </c>
      <c r="Q20" s="395"/>
      <c r="R20" s="395"/>
      <c r="S20" s="395"/>
      <c r="T20" s="395"/>
      <c r="U20" s="396"/>
      <c r="V20" s="427" t="str">
        <f>IF(AND('Mapa final'!$O$29="Alta",'Mapa final'!$S$29="Moderado"),CONCATENATE("R",'Mapa final'!$A$29),"")</f>
        <v/>
      </c>
      <c r="W20" s="428"/>
      <c r="X20" s="428" t="str">
        <f>IF(AND('Mapa final'!$O$63="Alta",'Mapa final'!$S$63="Moderado"),CONCATENATE("R",'Mapa final'!$A$63),"")</f>
        <v>RG30</v>
      </c>
      <c r="Y20" s="428"/>
      <c r="Z20" s="428" t="str">
        <f>IF(AND('Mapa final'!$O$46="Alta",'Mapa final'!$S$46="Moderado"),CONCATENATE("R",'Mapa final'!$A$46),"")</f>
        <v>RG19</v>
      </c>
      <c r="AA20" s="429"/>
      <c r="AB20" s="427" t="str">
        <f>IF(AND('Mapa final'!$O$29="Alta",'Mapa final'!$S$29="Mayor"),CONCATENATE("R",'Mapa final'!$A$29),"")</f>
        <v/>
      </c>
      <c r="AC20" s="428"/>
      <c r="AD20" s="428" t="str">
        <f>IF(AND('Mapa final'!$O$30="Alta",'Mapa final'!$S$30="Mayor"),CONCATENATE("R",'Mapa final'!$A$30),"")</f>
        <v/>
      </c>
      <c r="AE20" s="428"/>
      <c r="AF20" s="428"/>
      <c r="AG20" s="429"/>
      <c r="AH20" s="411" t="str">
        <f>IF(AND('Mapa final'!$O$29="Alta",'Mapa final'!$S$29="Catastrófico"),CONCATENATE("R",'Mapa final'!$A$29),"")</f>
        <v/>
      </c>
      <c r="AI20" s="409"/>
      <c r="AJ20" s="409" t="str">
        <f>IF(AND('Mapa final'!$O$30="Alta",'Mapa final'!$S$30="Catastrófico"),CONCATENATE("R",'Mapa final'!$A$30),"")</f>
        <v/>
      </c>
      <c r="AK20" s="409"/>
      <c r="AL20" s="409"/>
      <c r="AM20" s="410"/>
      <c r="AN20" s="42"/>
      <c r="AO20" s="467"/>
      <c r="AP20" s="468"/>
      <c r="AQ20" s="468"/>
      <c r="AR20" s="468"/>
      <c r="AS20" s="468"/>
      <c r="AT20" s="469"/>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row>
    <row r="21" spans="1:80" ht="15.75" customHeight="1" thickBot="1">
      <c r="A21" s="42"/>
      <c r="B21" s="453"/>
      <c r="C21" s="453"/>
      <c r="D21" s="454"/>
      <c r="E21" s="449"/>
      <c r="F21" s="450"/>
      <c r="G21" s="450"/>
      <c r="H21" s="450"/>
      <c r="I21" s="450"/>
      <c r="J21" s="407"/>
      <c r="K21" s="408"/>
      <c r="L21" s="398"/>
      <c r="M21" s="398"/>
      <c r="N21" s="398"/>
      <c r="O21" s="401"/>
      <c r="P21" s="397"/>
      <c r="Q21" s="398"/>
      <c r="R21" s="398"/>
      <c r="S21" s="398"/>
      <c r="T21" s="398"/>
      <c r="U21" s="401"/>
      <c r="V21" s="430"/>
      <c r="W21" s="431"/>
      <c r="X21" s="431"/>
      <c r="Y21" s="431"/>
      <c r="Z21" s="428"/>
      <c r="AA21" s="429"/>
      <c r="AB21" s="430"/>
      <c r="AC21" s="431"/>
      <c r="AD21" s="431"/>
      <c r="AE21" s="431"/>
      <c r="AF21" s="431"/>
      <c r="AG21" s="432"/>
      <c r="AH21" s="411"/>
      <c r="AI21" s="409"/>
      <c r="AJ21" s="409"/>
      <c r="AK21" s="409"/>
      <c r="AL21" s="409"/>
      <c r="AM21" s="410"/>
      <c r="AN21" s="42"/>
      <c r="AO21" s="470"/>
      <c r="AP21" s="471"/>
      <c r="AQ21" s="471"/>
      <c r="AR21" s="471"/>
      <c r="AS21" s="471"/>
      <c r="AT21" s="47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row>
    <row r="22" spans="1:80" ht="15" customHeight="1">
      <c r="A22" s="42"/>
      <c r="B22" s="453"/>
      <c r="C22" s="453"/>
      <c r="D22" s="454"/>
      <c r="E22" s="443" t="s">
        <v>599</v>
      </c>
      <c r="F22" s="444"/>
      <c r="G22" s="444"/>
      <c r="H22" s="444"/>
      <c r="I22" s="445"/>
      <c r="J22" s="405" t="str">
        <f>IF(AND('Mapa final'!$O$15="Media",'Mapa final'!$S$15="Leve"),CONCATENATE("R",'Mapa final'!$A$15),"")</f>
        <v/>
      </c>
      <c r="K22" s="406"/>
      <c r="L22" s="399"/>
      <c r="M22" s="399"/>
      <c r="N22" s="399" t="str">
        <f>IF(AND('Mapa final'!$O$16="Media",'Mapa final'!$S$16="Leve"),CONCATENATE("R",'Mapa final'!$A$16),"")</f>
        <v/>
      </c>
      <c r="O22" s="400"/>
      <c r="P22" s="402" t="str">
        <f>IF(AND('Mapa final'!$O$15="Media",'Mapa final'!$S$15="Menor"),CONCATENATE("R",'Mapa final'!$A$15),"")</f>
        <v/>
      </c>
      <c r="Q22" s="399"/>
      <c r="R22" s="399" t="str">
        <f>IF(AND('Mapa final'!$O$49="Media",'Mapa final'!$S$49="Menor"),CONCATENATE("R",'Mapa final'!$A$49),"")</f>
        <v>RG21</v>
      </c>
      <c r="S22" s="399"/>
      <c r="T22" s="399" t="str">
        <f>IF(AND('Mapa final'!$O$50="Media",'Mapa final'!$S$50="Menor"),CONCATENATE("R",'Mapa final'!$A$50),"")</f>
        <v>RG22</v>
      </c>
      <c r="U22" s="399"/>
      <c r="V22" s="394"/>
      <c r="W22" s="395"/>
      <c r="X22" s="395" t="str">
        <f>IF(AND('Mapa final'!$O$33="Media",'Mapa final'!$S$33="Moderado"),CONCATENATE("R",'Mapa final'!$A$33),"")</f>
        <v>RG12</v>
      </c>
      <c r="Y22" s="395"/>
      <c r="Z22" s="399" t="str">
        <f>IF(AND('Mapa final'!$O$16="Media",'Mapa final'!$S$16="Moderado"),CONCATENATE("R",'Mapa final'!$A$16),"")</f>
        <v>RG2</v>
      </c>
      <c r="AA22" s="400"/>
      <c r="AB22" s="433" t="str">
        <f>IF(AND('Mapa final'!$O$15="Media",'Mapa final'!$S$15="Mayor"),CONCATENATE("R",'Mapa final'!$A$15),"")</f>
        <v/>
      </c>
      <c r="AC22" s="434"/>
      <c r="AD22" s="434"/>
      <c r="AE22" s="434"/>
      <c r="AF22" s="434" t="str">
        <f>IF(AND('Mapa final'!$O$16="Media",'Mapa final'!$S$16="Mayor"),CONCATENATE("R",'Mapa final'!$A$16),"")</f>
        <v/>
      </c>
      <c r="AG22" s="434"/>
      <c r="AH22" s="424" t="str">
        <f>IF(AND('Mapa final'!$O$15="Media",'Mapa final'!$S$15="Catastrófico"),CONCATENATE("R",'Mapa final'!$A$15),"")</f>
        <v/>
      </c>
      <c r="AI22" s="425"/>
      <c r="AJ22" s="425" t="str">
        <f>IF(AND('Mapa final'!$O$15="Media",'Mapa final'!$S$15="Catastrófico"),CONCATENATE("R",'Mapa final'!$A$15),"")</f>
        <v/>
      </c>
      <c r="AK22" s="425"/>
      <c r="AL22" s="425" t="str">
        <f>IF(AND('Mapa final'!$O$15="Media",'Mapa final'!$S$15="Catastrófico"),CONCATENATE("R",'Mapa final'!$A$15),"")</f>
        <v/>
      </c>
      <c r="AM22" s="426"/>
      <c r="AN22" s="42"/>
      <c r="AO22" s="473" t="s">
        <v>252</v>
      </c>
      <c r="AP22" s="474"/>
      <c r="AQ22" s="474"/>
      <c r="AR22" s="474"/>
      <c r="AS22" s="474"/>
      <c r="AT22" s="475"/>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row>
    <row r="23" spans="1:80" ht="15" customHeight="1">
      <c r="A23" s="42"/>
      <c r="B23" s="453"/>
      <c r="C23" s="453"/>
      <c r="D23" s="454"/>
      <c r="E23" s="446"/>
      <c r="F23" s="447"/>
      <c r="G23" s="447"/>
      <c r="H23" s="447"/>
      <c r="I23" s="448"/>
      <c r="J23" s="403"/>
      <c r="K23" s="404"/>
      <c r="L23" s="395"/>
      <c r="M23" s="395"/>
      <c r="N23" s="395"/>
      <c r="O23" s="396"/>
      <c r="P23" s="394"/>
      <c r="Q23" s="395"/>
      <c r="R23" s="395"/>
      <c r="S23" s="395"/>
      <c r="T23" s="395"/>
      <c r="U23" s="395"/>
      <c r="V23" s="394"/>
      <c r="W23" s="395"/>
      <c r="X23" s="395"/>
      <c r="Y23" s="395"/>
      <c r="Z23" s="395"/>
      <c r="AA23" s="396"/>
      <c r="AB23" s="427"/>
      <c r="AC23" s="428"/>
      <c r="AD23" s="428"/>
      <c r="AE23" s="428"/>
      <c r="AF23" s="428"/>
      <c r="AG23" s="428"/>
      <c r="AH23" s="418"/>
      <c r="AI23" s="419"/>
      <c r="AJ23" s="419"/>
      <c r="AK23" s="419"/>
      <c r="AL23" s="419"/>
      <c r="AM23" s="420"/>
      <c r="AN23" s="42"/>
      <c r="AO23" s="476"/>
      <c r="AP23" s="477"/>
      <c r="AQ23" s="477"/>
      <c r="AR23" s="477"/>
      <c r="AS23" s="477"/>
      <c r="AT23" s="478"/>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row>
    <row r="24" spans="1:80" ht="15" customHeight="1">
      <c r="A24" s="42"/>
      <c r="B24" s="453"/>
      <c r="C24" s="453"/>
      <c r="D24" s="454"/>
      <c r="E24" s="446"/>
      <c r="F24" s="447"/>
      <c r="G24" s="447"/>
      <c r="H24" s="447"/>
      <c r="I24" s="448"/>
      <c r="J24" s="403" t="str">
        <f>IF(AND('Mapa final'!$O$17="Media",'Mapa final'!$S$17="Leve"),CONCATENATE("R",'Mapa final'!$A$17),"")</f>
        <v/>
      </c>
      <c r="K24" s="404"/>
      <c r="L24" s="395" t="str">
        <f>IF(AND('Mapa final'!$O$19="Media",'Mapa final'!$S$19="Leve"),CONCATENATE("R",'Mapa final'!$A$19),"")</f>
        <v/>
      </c>
      <c r="M24" s="395"/>
      <c r="N24" s="395" t="str">
        <f>IF(AND('Mapa final'!$O$23="Media",'Mapa final'!$S$23="Leve"),CONCATENATE("R",'Mapa final'!$A$23),"")</f>
        <v>RG5</v>
      </c>
      <c r="O24" s="396"/>
      <c r="P24" s="394" t="str">
        <f>IF(AND('Mapa final'!$O$17="Media",'Mapa final'!$S$17="Menor"),CONCATENATE("R",'Mapa final'!$A$17),"")</f>
        <v/>
      </c>
      <c r="Q24" s="395"/>
      <c r="R24" s="395" t="str">
        <f>IF(AND('Mapa final'!$O$19="Media",'Mapa final'!$S$19="Menor"),CONCATENATE("R",'Mapa final'!$A$19),"")</f>
        <v/>
      </c>
      <c r="S24" s="395"/>
      <c r="T24" s="395" t="str">
        <f>IF(AND('Mapa final'!$O$23="Media",'Mapa final'!$S$23="Menor"),CONCATENATE("R",'Mapa final'!$A$23),"")</f>
        <v/>
      </c>
      <c r="U24" s="396"/>
      <c r="V24" s="394" t="str">
        <f>IF(AND('Mapa final'!$O$17="Media",'Mapa final'!$S$17="Moderado"),CONCATENATE("R",'Mapa final'!$A$17),"")</f>
        <v/>
      </c>
      <c r="W24" s="395"/>
      <c r="X24" s="395" t="str">
        <f>IF(AND('Mapa final'!$O$19="Media",'Mapa final'!$S$19="Moderado"),CONCATENATE("R",'Mapa final'!$A$19),"")</f>
        <v/>
      </c>
      <c r="Y24" s="395"/>
      <c r="Z24" s="395" t="str">
        <f>IF(AND('Mapa final'!$O$23="Media",'Mapa final'!$S$23="Moderado"),CONCATENATE("R",'Mapa final'!$A$23),"")</f>
        <v/>
      </c>
      <c r="AA24" s="396"/>
      <c r="AB24" s="427" t="str">
        <f>IF(AND('Mapa final'!$O$17="Media",'Mapa final'!$S$17="Mayor"),CONCATENATE("R",'Mapa final'!$A$17),"")</f>
        <v/>
      </c>
      <c r="AC24" s="428"/>
      <c r="AD24" s="428" t="str">
        <f>IF(AND('Mapa final'!$O$19="Media",'Mapa final'!$S$19="Mayor"),CONCATENATE("R",'Mapa final'!$A$19),"")</f>
        <v>RG4</v>
      </c>
      <c r="AE24" s="428"/>
      <c r="AF24" s="428" t="str">
        <f>IF(AND('Mapa final'!$O$23="Media",'Mapa final'!$S$23="Mayor"),CONCATENATE("R",'Mapa final'!$A$23),"")</f>
        <v/>
      </c>
      <c r="AG24" s="428"/>
      <c r="AH24" s="418" t="str">
        <f>IF(AND('Mapa final'!$O$17="Media",'Mapa final'!$S$17="Catastrófico"),CONCATENATE("R",'Mapa final'!$A$17),"")</f>
        <v/>
      </c>
      <c r="AI24" s="419"/>
      <c r="AJ24" s="419" t="str">
        <f>IF(AND('Mapa final'!$O$17="Media",'Mapa final'!$S$17="Catastrófico"),CONCATENATE("R",'Mapa final'!$A$17),"")</f>
        <v/>
      </c>
      <c r="AK24" s="419"/>
      <c r="AL24" s="419" t="str">
        <f>IF(AND('Mapa final'!$O$17="Media",'Mapa final'!$S$17="Catastrófico"),CONCATENATE("R",'Mapa final'!$A$17),"")</f>
        <v/>
      </c>
      <c r="AM24" s="420"/>
      <c r="AN24" s="42"/>
      <c r="AO24" s="476"/>
      <c r="AP24" s="477"/>
      <c r="AQ24" s="477"/>
      <c r="AR24" s="477"/>
      <c r="AS24" s="477"/>
      <c r="AT24" s="478"/>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row>
    <row r="25" spans="1:80" ht="15" customHeight="1">
      <c r="A25" s="42"/>
      <c r="B25" s="453"/>
      <c r="C25" s="453"/>
      <c r="D25" s="454"/>
      <c r="E25" s="446"/>
      <c r="F25" s="447"/>
      <c r="G25" s="447"/>
      <c r="H25" s="447"/>
      <c r="I25" s="448"/>
      <c r="J25" s="403"/>
      <c r="K25" s="404"/>
      <c r="L25" s="395"/>
      <c r="M25" s="395"/>
      <c r="N25" s="395"/>
      <c r="O25" s="396"/>
      <c r="P25" s="394"/>
      <c r="Q25" s="395"/>
      <c r="R25" s="395"/>
      <c r="S25" s="395"/>
      <c r="T25" s="395"/>
      <c r="U25" s="396"/>
      <c r="V25" s="394"/>
      <c r="W25" s="395"/>
      <c r="X25" s="395"/>
      <c r="Y25" s="395"/>
      <c r="Z25" s="395"/>
      <c r="AA25" s="396"/>
      <c r="AB25" s="427"/>
      <c r="AC25" s="428"/>
      <c r="AD25" s="428"/>
      <c r="AE25" s="428"/>
      <c r="AF25" s="428"/>
      <c r="AG25" s="428"/>
      <c r="AH25" s="418"/>
      <c r="AI25" s="419"/>
      <c r="AJ25" s="419"/>
      <c r="AK25" s="419"/>
      <c r="AL25" s="419"/>
      <c r="AM25" s="420"/>
      <c r="AN25" s="42"/>
      <c r="AO25" s="476"/>
      <c r="AP25" s="477"/>
      <c r="AQ25" s="477"/>
      <c r="AR25" s="477"/>
      <c r="AS25" s="477"/>
      <c r="AT25" s="478"/>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row>
    <row r="26" spans="1:80" ht="15" customHeight="1">
      <c r="A26" s="42"/>
      <c r="B26" s="453"/>
      <c r="C26" s="453"/>
      <c r="D26" s="454"/>
      <c r="E26" s="446"/>
      <c r="F26" s="447"/>
      <c r="G26" s="447"/>
      <c r="H26" s="447"/>
      <c r="I26" s="448"/>
      <c r="J26" s="403" t="str">
        <f>IF(AND('Mapa final'!$O$24="Media",'Mapa final'!$S$24="Leve"),CONCATENATE("R",'Mapa final'!$A$24),"")</f>
        <v/>
      </c>
      <c r="K26" s="404"/>
      <c r="L26" s="395" t="str">
        <f>IF(AND('Mapa final'!$O$25="Media",'Mapa final'!$S$25="Leve"),CONCATENATE("R",'Mapa final'!$A$25),"")</f>
        <v/>
      </c>
      <c r="M26" s="395"/>
      <c r="N26" s="395" t="str">
        <f>IF(AND('Mapa final'!$O$27="Media",'Mapa final'!$S$27="Leve"),CONCATENATE("R",'Mapa final'!$A$27),"")</f>
        <v/>
      </c>
      <c r="O26" s="396"/>
      <c r="P26" s="394" t="str">
        <f>IF(AND('Mapa final'!$O$24="Media",'Mapa final'!$S$24="Menor"),CONCATENATE("R",'Mapa final'!$A$24),"")</f>
        <v/>
      </c>
      <c r="Q26" s="395"/>
      <c r="R26" s="395" t="str">
        <f>IF(AND('Mapa final'!$O$25="Media",'Mapa final'!$S$25="Menor"),CONCATENATE("R",'Mapa final'!$A$25),"")</f>
        <v/>
      </c>
      <c r="S26" s="395"/>
      <c r="T26" s="395" t="str">
        <f>IF(AND('Mapa final'!$O$48="Media",'Mapa final'!$S$48="Menor"),CONCATENATE("R",'Mapa final'!$A$48),"")</f>
        <v>RG20</v>
      </c>
      <c r="U26" s="396"/>
      <c r="V26" s="394" t="str">
        <f>IF(AND('Mapa final'!$O$24="Media",'Mapa final'!$S$24="Moderado"),CONCATENATE("R",'Mapa final'!$A$24),"")</f>
        <v/>
      </c>
      <c r="W26" s="395"/>
      <c r="X26" s="395" t="str">
        <f>IF(AND('Mapa final'!$O$25="Media",'Mapa final'!$S$25="Moderado"),CONCATENATE("R",'Mapa final'!$A$25),"")</f>
        <v>RG7</v>
      </c>
      <c r="Y26" s="395"/>
      <c r="Z26" s="395" t="str">
        <f>IF(AND('Mapa final'!$O$60="Media",'Mapa final'!$S$60="Moderado"),CONCATENATE("R",'Mapa final'!$A$60),"")</f>
        <v>RG28</v>
      </c>
      <c r="AA26" s="396"/>
      <c r="AB26" s="427" t="str">
        <f>IF(AND('Mapa final'!$O$24="Media",'Mapa final'!$S$24="Mayor"),CONCATENATE("R",'Mapa final'!$A$24),"")</f>
        <v/>
      </c>
      <c r="AC26" s="428"/>
      <c r="AD26" s="428" t="str">
        <f>IF(AND('Mapa final'!$O$25="Media",'Mapa final'!$S$25="Mayor"),CONCATENATE("R",'Mapa final'!$A$25),"")</f>
        <v/>
      </c>
      <c r="AE26" s="428"/>
      <c r="AF26" s="428" t="str">
        <f>IF(AND('Mapa final'!$O$27="Media",'Mapa final'!$S$27="Mayor"),CONCATENATE("R",'Mapa final'!$A$27),"")</f>
        <v/>
      </c>
      <c r="AG26" s="428"/>
      <c r="AH26" s="418" t="str">
        <f>IF(AND('Mapa final'!$O$24="Media",'Mapa final'!$S$24="Catastrófico"),CONCATENATE("R",'Mapa final'!$A$24),"")</f>
        <v/>
      </c>
      <c r="AI26" s="419"/>
      <c r="AJ26" s="419" t="str">
        <f>IF(AND('Mapa final'!$O$24="Media",'Mapa final'!$S$24="Catastrófico"),CONCATENATE("R",'Mapa final'!$A$24),"")</f>
        <v/>
      </c>
      <c r="AK26" s="419"/>
      <c r="AL26" s="419" t="str">
        <f>IF(AND('Mapa final'!$O$24="Media",'Mapa final'!$S$24="Catastrófico"),CONCATENATE("R",'Mapa final'!$A$24),"")</f>
        <v/>
      </c>
      <c r="AM26" s="420"/>
      <c r="AN26" s="42"/>
      <c r="AO26" s="476"/>
      <c r="AP26" s="477"/>
      <c r="AQ26" s="477"/>
      <c r="AR26" s="477"/>
      <c r="AS26" s="477"/>
      <c r="AT26" s="478"/>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row>
    <row r="27" spans="1:80" ht="15" customHeight="1">
      <c r="A27" s="42"/>
      <c r="B27" s="453"/>
      <c r="C27" s="453"/>
      <c r="D27" s="454"/>
      <c r="E27" s="446"/>
      <c r="F27" s="447"/>
      <c r="G27" s="447"/>
      <c r="H27" s="447"/>
      <c r="I27" s="448"/>
      <c r="J27" s="403"/>
      <c r="K27" s="404"/>
      <c r="L27" s="395"/>
      <c r="M27" s="395"/>
      <c r="N27" s="395"/>
      <c r="O27" s="396"/>
      <c r="P27" s="394"/>
      <c r="Q27" s="395"/>
      <c r="R27" s="395"/>
      <c r="S27" s="395"/>
      <c r="T27" s="395"/>
      <c r="U27" s="396"/>
      <c r="V27" s="394"/>
      <c r="W27" s="395"/>
      <c r="X27" s="395"/>
      <c r="Y27" s="395"/>
      <c r="Z27" s="395"/>
      <c r="AA27" s="396"/>
      <c r="AB27" s="427"/>
      <c r="AC27" s="428"/>
      <c r="AD27" s="428"/>
      <c r="AE27" s="428"/>
      <c r="AF27" s="428"/>
      <c r="AG27" s="428"/>
      <c r="AH27" s="418"/>
      <c r="AI27" s="419"/>
      <c r="AJ27" s="419"/>
      <c r="AK27" s="419"/>
      <c r="AL27" s="419"/>
      <c r="AM27" s="420"/>
      <c r="AN27" s="42"/>
      <c r="AO27" s="476"/>
      <c r="AP27" s="477"/>
      <c r="AQ27" s="477"/>
      <c r="AR27" s="477"/>
      <c r="AS27" s="477"/>
      <c r="AT27" s="478"/>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row>
    <row r="28" spans="1:80" ht="15" customHeight="1">
      <c r="A28" s="42"/>
      <c r="B28" s="453"/>
      <c r="C28" s="453"/>
      <c r="D28" s="454"/>
      <c r="E28" s="446"/>
      <c r="F28" s="447"/>
      <c r="G28" s="447"/>
      <c r="H28" s="447"/>
      <c r="I28" s="448"/>
      <c r="J28" s="403" t="str">
        <f>IF(AND('Mapa final'!$O$29="Media",'Mapa final'!$S$29="Leve"),CONCATENATE("R",'Mapa final'!$A$29),"")</f>
        <v/>
      </c>
      <c r="K28" s="404"/>
      <c r="L28" s="395" t="str">
        <f>IF(AND('Mapa final'!$O$30="Media",'Mapa final'!$S$30="Leve"),CONCATENATE("R",'Mapa final'!$A$30),"")</f>
        <v/>
      </c>
      <c r="M28" s="395"/>
      <c r="N28" s="395"/>
      <c r="O28" s="396"/>
      <c r="P28" s="394" t="str">
        <f>IF(AND('Mapa final'!$O$29="Media",'Mapa final'!$S$29="Menor"),CONCATENATE("R",'Mapa final'!$A$29),"")</f>
        <v>RG9</v>
      </c>
      <c r="Q28" s="395"/>
      <c r="R28" s="395" t="str">
        <f>IF(AND('Mapa final'!$O$30="Media",'Mapa final'!$S$30="Menor"),CONCATENATE("R",'Mapa final'!$A$30),"")</f>
        <v>RG10</v>
      </c>
      <c r="S28" s="395"/>
      <c r="T28" s="395" t="str">
        <f>IF(AND('Mapa final'!$O$40="Media",'Mapa final'!$S$40="Menor"),CONCATENATE("R",'Mapa final'!$A$40),"")</f>
        <v>RG17</v>
      </c>
      <c r="U28" s="395"/>
      <c r="V28" s="394" t="str">
        <f>IF(AND('Mapa final'!$O$29="Media",'Mapa final'!$S$29="Moderado"),CONCATENATE("R",'Mapa final'!$A$29),"")</f>
        <v/>
      </c>
      <c r="W28" s="395"/>
      <c r="X28" s="395" t="str">
        <f>IF(AND('Mapa final'!$O$62="Media",'Mapa final'!$S$62="Moderado"),CONCATENATE("R",'Mapa final'!$A$62),"")</f>
        <v>RG29</v>
      </c>
      <c r="Y28" s="395"/>
      <c r="Z28" s="395" t="str">
        <f>IF(AND('Mapa final'!$O$59="Media",'Mapa final'!$S$59="Moderado"),CONCATENATE("R",'Mapa final'!$A$59),"")</f>
        <v>RG27</v>
      </c>
      <c r="AA28" s="395"/>
      <c r="AB28" s="427" t="str">
        <f>IF(AND('Mapa final'!$O$29="Media",'Mapa final'!$S$29="Mayor"),CONCATENATE("R",'Mapa final'!$A$29),"")</f>
        <v/>
      </c>
      <c r="AC28" s="428"/>
      <c r="AD28" s="428" t="str">
        <f>IF(AND('Mapa final'!$O$30="Media",'Mapa final'!$S$30="Mayor"),CONCATENATE("R",'Mapa final'!$A$30),"")</f>
        <v/>
      </c>
      <c r="AE28" s="428"/>
      <c r="AF28" s="428"/>
      <c r="AG28" s="428"/>
      <c r="AH28" s="418" t="str">
        <f>IF(AND('Mapa final'!$O$29="Media",'Mapa final'!$S$29="Catastrófico"),CONCATENATE("R",'Mapa final'!$A$29),"")</f>
        <v/>
      </c>
      <c r="AI28" s="419"/>
      <c r="AJ28" s="419" t="str">
        <f>IF(AND('Mapa final'!$O$29="Media",'Mapa final'!$S$29="Catastrófico"),CONCATENATE("R",'Mapa final'!$A$29),"")</f>
        <v/>
      </c>
      <c r="AK28" s="419"/>
      <c r="AL28" s="419" t="str">
        <f>IF(AND('Mapa final'!$O$29="Media",'Mapa final'!$S$29="Catastrófico"),CONCATENATE("R",'Mapa final'!$A$29),"")</f>
        <v/>
      </c>
      <c r="AM28" s="420"/>
      <c r="AN28" s="42"/>
      <c r="AO28" s="476"/>
      <c r="AP28" s="477"/>
      <c r="AQ28" s="477"/>
      <c r="AR28" s="477"/>
      <c r="AS28" s="477"/>
      <c r="AT28" s="478"/>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row>
    <row r="29" spans="1:80" ht="15.75" customHeight="1" thickBot="1">
      <c r="A29" s="42"/>
      <c r="B29" s="453"/>
      <c r="C29" s="453"/>
      <c r="D29" s="454"/>
      <c r="E29" s="449"/>
      <c r="F29" s="450"/>
      <c r="G29" s="450"/>
      <c r="H29" s="450"/>
      <c r="I29" s="451"/>
      <c r="J29" s="403"/>
      <c r="K29" s="404"/>
      <c r="L29" s="395"/>
      <c r="M29" s="395"/>
      <c r="N29" s="395"/>
      <c r="O29" s="396"/>
      <c r="P29" s="397"/>
      <c r="Q29" s="398"/>
      <c r="R29" s="398"/>
      <c r="S29" s="398"/>
      <c r="T29" s="398"/>
      <c r="U29" s="398"/>
      <c r="V29" s="397"/>
      <c r="W29" s="398"/>
      <c r="X29" s="398"/>
      <c r="Y29" s="398"/>
      <c r="Z29" s="398"/>
      <c r="AA29" s="398"/>
      <c r="AB29" s="430"/>
      <c r="AC29" s="431"/>
      <c r="AD29" s="431"/>
      <c r="AE29" s="431"/>
      <c r="AF29" s="431"/>
      <c r="AG29" s="431"/>
      <c r="AH29" s="421"/>
      <c r="AI29" s="422"/>
      <c r="AJ29" s="422"/>
      <c r="AK29" s="422"/>
      <c r="AL29" s="422"/>
      <c r="AM29" s="423"/>
      <c r="AN29" s="42"/>
      <c r="AO29" s="479"/>
      <c r="AP29" s="480"/>
      <c r="AQ29" s="480"/>
      <c r="AR29" s="480"/>
      <c r="AS29" s="480"/>
      <c r="AT29" s="481"/>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row>
    <row r="30" spans="1:80" ht="15" customHeight="1">
      <c r="A30" s="42"/>
      <c r="B30" s="453"/>
      <c r="C30" s="453"/>
      <c r="D30" s="454"/>
      <c r="E30" s="443" t="s">
        <v>600</v>
      </c>
      <c r="F30" s="444"/>
      <c r="G30" s="444"/>
      <c r="H30" s="444"/>
      <c r="I30" s="444"/>
      <c r="J30" s="392" t="str">
        <f>IF(AND('Mapa final'!$O$15="Baja",'Mapa final'!$S$15="Leve"),CONCATENATE("R",'Mapa final'!$A$15),"")</f>
        <v/>
      </c>
      <c r="K30" s="393"/>
      <c r="L30" s="385"/>
      <c r="M30" s="385"/>
      <c r="N30" s="385" t="str">
        <f>IF(AND('Mapa final'!$O$16="Baja",'Mapa final'!$S$16="Leve"),CONCATENATE("R",'Mapa final'!$A$16),"")</f>
        <v/>
      </c>
      <c r="O30" s="386"/>
      <c r="P30" s="399" t="str">
        <f>IF(AND('Mapa final'!$O$15="Baja",'Mapa final'!$S$15="Menor"),CONCATENATE("R",'Mapa final'!$A$15),"")</f>
        <v/>
      </c>
      <c r="Q30" s="399"/>
      <c r="R30" s="399" t="str">
        <f>IF(AND('Mapa final'!$O$53="Baja",'Mapa final'!$S$53="Menor"),CONCATENATE("R",'Mapa final'!$A$53),"")</f>
        <v>RG24</v>
      </c>
      <c r="S30" s="399"/>
      <c r="T30" s="399" t="str">
        <f>IF(AND('Mapa final'!$O$56="Baja",'Mapa final'!$S$56="Menor"),CONCATENATE("R",'Mapa final'!$A$56),"")</f>
        <v>RG25</v>
      </c>
      <c r="U30" s="400"/>
      <c r="V30" s="394" t="str">
        <f>IF(AND('Mapa final'!$O$15="Baja",'Mapa final'!$S$15="Moderado"),CONCATENATE("R",'Mapa final'!$A$15),"")</f>
        <v>RG1</v>
      </c>
      <c r="W30" s="395"/>
      <c r="X30" s="395" t="str">
        <f>IF(AND('Mapa final'!$O$34="Baja",'Mapa final'!$S$34="Moderado"),CONCATENATE("R",'Mapa final'!$A$34),"")</f>
        <v>RG13</v>
      </c>
      <c r="Y30" s="395"/>
      <c r="Z30" s="399" t="str">
        <f>IF(AND('Mapa final'!$O$16="Baja",'Mapa final'!$S$16="Moderado"),CONCATENATE("R",'Mapa final'!$A$16),"")</f>
        <v/>
      </c>
      <c r="AA30" s="400"/>
      <c r="AB30" s="433" t="str">
        <f>IF(AND('Mapa final'!$O$15="Baja",'Mapa final'!$S$15="Mayor"),CONCATENATE("R",'Mapa final'!$A$15),"")</f>
        <v/>
      </c>
      <c r="AC30" s="434"/>
      <c r="AD30" s="434"/>
      <c r="AE30" s="434"/>
      <c r="AF30" s="434" t="str">
        <f>IF(AND('Mapa final'!$O$16="Baja",'Mapa final'!$S$16="Mayor"),CONCATENATE("R",'Mapa final'!$A$16),"")</f>
        <v/>
      </c>
      <c r="AG30" s="435"/>
      <c r="AH30" s="415" t="str">
        <f>IF(AND('Mapa final'!$O$15="Baja",'Mapa final'!$S$15="Catastrófico"),CONCATENATE("R",'Mapa final'!$A$15),"")</f>
        <v/>
      </c>
      <c r="AI30" s="416"/>
      <c r="AJ30" s="416"/>
      <c r="AK30" s="416"/>
      <c r="AL30" s="133" t="str">
        <f>IF(AND('Mapa final'!$O$16="Baja",'Mapa final'!$S$16="Catastrófico"),CONCATENATE("R",'Mapa final'!$A$16),"")</f>
        <v/>
      </c>
      <c r="AM30" s="134"/>
      <c r="AN30" s="42"/>
      <c r="AO30" s="482" t="s">
        <v>601</v>
      </c>
      <c r="AP30" s="483"/>
      <c r="AQ30" s="483"/>
      <c r="AR30" s="483"/>
      <c r="AS30" s="483"/>
      <c r="AT30" s="484"/>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row>
    <row r="31" spans="1:80" ht="15" customHeight="1">
      <c r="A31" s="42"/>
      <c r="B31" s="453"/>
      <c r="C31" s="453"/>
      <c r="D31" s="454"/>
      <c r="E31" s="446"/>
      <c r="F31" s="447"/>
      <c r="G31" s="447"/>
      <c r="H31" s="447"/>
      <c r="I31" s="447"/>
      <c r="J31" s="387"/>
      <c r="K31" s="388"/>
      <c r="L31" s="380"/>
      <c r="M31" s="380"/>
      <c r="N31" s="380"/>
      <c r="O31" s="381"/>
      <c r="P31" s="395"/>
      <c r="Q31" s="395"/>
      <c r="R31" s="395"/>
      <c r="S31" s="395"/>
      <c r="T31" s="395"/>
      <c r="U31" s="396"/>
      <c r="V31" s="394"/>
      <c r="W31" s="395"/>
      <c r="X31" s="395"/>
      <c r="Y31" s="395"/>
      <c r="Z31" s="395"/>
      <c r="AA31" s="396"/>
      <c r="AB31" s="427"/>
      <c r="AC31" s="428"/>
      <c r="AD31" s="428"/>
      <c r="AE31" s="428"/>
      <c r="AF31" s="428"/>
      <c r="AG31" s="429"/>
      <c r="AH31" s="411"/>
      <c r="AI31" s="409"/>
      <c r="AJ31" s="409"/>
      <c r="AK31" s="409"/>
      <c r="AL31" s="129"/>
      <c r="AM31" s="130"/>
      <c r="AN31" s="42"/>
      <c r="AO31" s="485"/>
      <c r="AP31" s="486"/>
      <c r="AQ31" s="486"/>
      <c r="AR31" s="486"/>
      <c r="AS31" s="486"/>
      <c r="AT31" s="487"/>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row>
    <row r="32" spans="1:80" ht="15" customHeight="1">
      <c r="A32" s="42"/>
      <c r="B32" s="453"/>
      <c r="C32" s="453"/>
      <c r="D32" s="454"/>
      <c r="E32" s="446"/>
      <c r="F32" s="447"/>
      <c r="G32" s="447"/>
      <c r="H32" s="447"/>
      <c r="I32" s="447"/>
      <c r="J32" s="387" t="str">
        <f>IF(AND('Mapa final'!$O$17="Baja",'Mapa final'!$S$17="Leve"),CONCATENATE("R",'Mapa final'!$A$17),"")</f>
        <v/>
      </c>
      <c r="K32" s="388"/>
      <c r="L32" s="380" t="str">
        <f>IF(AND('Mapa final'!$O$19="Baja",'Mapa final'!$S$19="Leve"),CONCATENATE("R",'Mapa final'!$A$19),"")</f>
        <v/>
      </c>
      <c r="M32" s="380"/>
      <c r="N32" s="380" t="str">
        <f>IF(AND('Mapa final'!$O$23="Baja",'Mapa final'!$S$23="Leve"),CONCATENATE("R",'Mapa final'!$A$23),"")</f>
        <v/>
      </c>
      <c r="O32" s="381"/>
      <c r="P32" s="395" t="str">
        <f>IF(AND('Mapa final'!$O$17="Baja",'Mapa final'!$S$17="Menor"),CONCATENATE("R",'Mapa final'!$A$17),"")</f>
        <v/>
      </c>
      <c r="Q32" s="395"/>
      <c r="R32" s="395" t="str">
        <f>IF(AND('Mapa final'!$O$19="Baja",'Mapa final'!$S$19="Menor"),CONCATENATE("R",'Mapa final'!$A$19),"")</f>
        <v/>
      </c>
      <c r="S32" s="395"/>
      <c r="T32" s="395" t="str">
        <f>IF(AND('Mapa final'!$O$23="Baja",'Mapa final'!$S$23="Menor"),CONCATENATE("R",'Mapa final'!$A$23),"")</f>
        <v/>
      </c>
      <c r="U32" s="396"/>
      <c r="V32" s="394" t="str">
        <f>IF(AND('Mapa final'!$O$17="Baja",'Mapa final'!$S$17="Moderado"),CONCATENATE("R",'Mapa final'!$A$17),"")</f>
        <v/>
      </c>
      <c r="W32" s="395"/>
      <c r="X32" s="395" t="str">
        <f>IF(AND('Mapa final'!$O$36="Baja",'Mapa final'!$S$36="Moderado"),CONCATENATE("R",'Mapa final'!$A$36),"")</f>
        <v>RG14</v>
      </c>
      <c r="Y32" s="395"/>
      <c r="Z32" s="395" t="str">
        <f>IF(AND('Mapa final'!$O$23="Baja",'Mapa final'!$S$23="Moderado"),CONCATENATE("R",'Mapa final'!$A$23),"")</f>
        <v/>
      </c>
      <c r="AA32" s="396"/>
      <c r="AB32" s="427" t="str">
        <f>IF(AND('Mapa final'!$O$31="Baja",'Mapa final'!$S$31="Mayor"),CONCATENATE("R",'Mapa final'!$A$31),"")</f>
        <v>RG11</v>
      </c>
      <c r="AC32" s="428"/>
      <c r="AD32" s="428" t="str">
        <f>IF(AND('Mapa final'!$O$38="Baja",'Mapa final'!$S$38="Mayor"),CONCATENATE("R",'Mapa final'!$A$38),"")</f>
        <v>RG15</v>
      </c>
      <c r="AE32" s="428"/>
      <c r="AF32" s="428" t="str">
        <f>IF(AND('Mapa final'!$O$23="Baja",'Mapa final'!$S$23="Mayor"),CONCATENATE("R",'Mapa final'!$A$23),"")</f>
        <v/>
      </c>
      <c r="AG32" s="429"/>
      <c r="AH32" s="411" t="str">
        <f>IF(AND('Mapa final'!$O$17="Baja",'Mapa final'!$S$17="Catastrófico"),CONCATENATE("R",'Mapa final'!$A$17),"")</f>
        <v/>
      </c>
      <c r="AI32" s="409"/>
      <c r="AJ32" s="409" t="str">
        <f>IF(AND('Mapa final'!$O$19="Baja",'Mapa final'!$S$19="Catastrófico"),CONCATENATE("R",'Mapa final'!$A$19),"")</f>
        <v/>
      </c>
      <c r="AK32" s="409"/>
      <c r="AL32" s="129" t="str">
        <f>IF(AND('Mapa final'!$O$23="Baja",'Mapa final'!$S$23="Catastrófico"),CONCATENATE("R",'Mapa final'!$A$23),"")</f>
        <v/>
      </c>
      <c r="AM32" s="130"/>
      <c r="AN32" s="42"/>
      <c r="AO32" s="485"/>
      <c r="AP32" s="486"/>
      <c r="AQ32" s="486"/>
      <c r="AR32" s="486"/>
      <c r="AS32" s="486"/>
      <c r="AT32" s="487"/>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row>
    <row r="33" spans="1:80" ht="15" customHeight="1">
      <c r="A33" s="42"/>
      <c r="B33" s="453"/>
      <c r="C33" s="453"/>
      <c r="D33" s="454"/>
      <c r="E33" s="446"/>
      <c r="F33" s="447"/>
      <c r="G33" s="447"/>
      <c r="H33" s="447"/>
      <c r="I33" s="447"/>
      <c r="J33" s="387"/>
      <c r="K33" s="388"/>
      <c r="L33" s="380"/>
      <c r="M33" s="380"/>
      <c r="N33" s="380"/>
      <c r="O33" s="381"/>
      <c r="P33" s="395"/>
      <c r="Q33" s="395"/>
      <c r="R33" s="395"/>
      <c r="S33" s="395"/>
      <c r="T33" s="395"/>
      <c r="U33" s="396"/>
      <c r="V33" s="394"/>
      <c r="W33" s="395"/>
      <c r="X33" s="395"/>
      <c r="Y33" s="395"/>
      <c r="Z33" s="395"/>
      <c r="AA33" s="396"/>
      <c r="AB33" s="427"/>
      <c r="AC33" s="428"/>
      <c r="AD33" s="428"/>
      <c r="AE33" s="428"/>
      <c r="AF33" s="428"/>
      <c r="AG33" s="429"/>
      <c r="AH33" s="411"/>
      <c r="AI33" s="409"/>
      <c r="AJ33" s="409"/>
      <c r="AK33" s="409"/>
      <c r="AL33" s="129"/>
      <c r="AM33" s="130"/>
      <c r="AN33" s="42"/>
      <c r="AO33" s="485"/>
      <c r="AP33" s="486"/>
      <c r="AQ33" s="486"/>
      <c r="AR33" s="486"/>
      <c r="AS33" s="486"/>
      <c r="AT33" s="487"/>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row>
    <row r="34" spans="1:80" ht="30" customHeight="1">
      <c r="A34" s="42"/>
      <c r="B34" s="453"/>
      <c r="C34" s="453"/>
      <c r="D34" s="454"/>
      <c r="E34" s="446"/>
      <c r="F34" s="447"/>
      <c r="G34" s="447"/>
      <c r="H34" s="447"/>
      <c r="I34" s="447"/>
      <c r="J34" s="387" t="str">
        <f>IF(AND('Mapa final'!$O$24="Baja",'Mapa final'!$S$24="Leve"),CONCATENATE("R",'Mapa final'!$A$24),"")</f>
        <v/>
      </c>
      <c r="K34" s="388"/>
      <c r="L34" s="380" t="str">
        <f>IF(AND('Mapa final'!$O$25="Baja",'Mapa final'!$S$25="Leve"),CONCATENATE("R",'Mapa final'!$A$25),"")</f>
        <v/>
      </c>
      <c r="M34" s="380"/>
      <c r="N34" s="380" t="str">
        <f>IF(AND('Mapa final'!$O$27="Baja",'Mapa final'!$S$27="Leve"),CONCATENATE("R",'Mapa final'!$A$27),"")</f>
        <v/>
      </c>
      <c r="O34" s="381"/>
      <c r="P34" s="395" t="str">
        <f>IF(AND('Mapa final'!$O$69="Baja",'Mapa final'!$S$69="Menor"),CONCATENATE("R",'Mapa final'!$A$69),"")</f>
        <v>RG35</v>
      </c>
      <c r="Q34" s="395"/>
      <c r="R34" s="395"/>
      <c r="S34" s="395"/>
      <c r="T34" s="395" t="str">
        <f>IF(AND('Mapa final'!$O$27="Baja",'Mapa final'!$S$27="Menor"),CONCATENATE("R",'Mapa final'!$A$27),"")</f>
        <v>RG8</v>
      </c>
      <c r="U34" s="396"/>
      <c r="V34" s="394" t="str">
        <f>IF(AND('Mapa final'!$O$24="Baja",'Mapa final'!$S$24="Moderado"),CONCATENATE("R",'Mapa final'!$A$24),"")</f>
        <v>RG6</v>
      </c>
      <c r="W34" s="395"/>
      <c r="X34" s="395" t="str">
        <f>IF(AND('Mapa final'!$O$39="Baja",'Mapa final'!$S$39="Moderado"),CONCATENATE("R",'Mapa final'!$A$39),"")</f>
        <v>RG16</v>
      </c>
      <c r="Y34" s="395"/>
      <c r="Z34" s="395" t="str">
        <f>IF(AND('Mapa final'!$O$27="Baja",'Mapa final'!$S$27="Moderado"),CONCATENATE("R",'Mapa final'!$A$27),"")</f>
        <v/>
      </c>
      <c r="AA34" s="396"/>
      <c r="AB34" s="427" t="str">
        <f>IF(AND('Mapa final'!$O$24="Baja",'Mapa final'!$S$24="Mayor"),CONCATENATE("R",'Mapa final'!$A$24),"")</f>
        <v/>
      </c>
      <c r="AC34" s="428"/>
      <c r="AD34" s="428" t="str">
        <f>IF(AND('Mapa final'!$O$25="Baja",'Mapa final'!$S$25="Mayor"),CONCATENATE("R",'Mapa final'!$A$25),"")</f>
        <v/>
      </c>
      <c r="AE34" s="428"/>
      <c r="AF34" s="428" t="str">
        <f>IF(AND('Mapa final'!$O$27="Baja",'Mapa final'!$S$27="Mayor"),CONCATENATE("R",'Mapa final'!$A$27),"")</f>
        <v/>
      </c>
      <c r="AG34" s="429"/>
      <c r="AH34" s="411" t="str">
        <f>IF(AND('Mapa final'!$O$24="Baja",'Mapa final'!$S$24="Catastrófico"),CONCATENATE("R",'Mapa final'!$A$24),"")</f>
        <v/>
      </c>
      <c r="AI34" s="409"/>
      <c r="AJ34" s="409" t="str">
        <f>IF(AND('Mapa final'!$O$25="Baja",'Mapa final'!$S$25="Catastrófico"),CONCATENATE("R",'Mapa final'!$A$25),"")</f>
        <v/>
      </c>
      <c r="AK34" s="409"/>
      <c r="AL34" s="129" t="str">
        <f>IF(AND('Mapa final'!$O$27="Baja",'Mapa final'!$S$27="Catastrófico"),CONCATENATE("R",'Mapa final'!$A$27),"")</f>
        <v/>
      </c>
      <c r="AM34" s="130"/>
      <c r="AN34" s="42"/>
      <c r="AO34" s="485"/>
      <c r="AP34" s="486"/>
      <c r="AQ34" s="486"/>
      <c r="AR34" s="486"/>
      <c r="AS34" s="486"/>
      <c r="AT34" s="487"/>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row>
    <row r="35" spans="1:80" ht="33.75" customHeight="1">
      <c r="A35" s="42"/>
      <c r="B35" s="453"/>
      <c r="C35" s="453"/>
      <c r="D35" s="454"/>
      <c r="E35" s="446"/>
      <c r="F35" s="447"/>
      <c r="G35" s="447"/>
      <c r="H35" s="447"/>
      <c r="I35" s="447"/>
      <c r="J35" s="387"/>
      <c r="K35" s="388"/>
      <c r="L35" s="380"/>
      <c r="M35" s="380"/>
      <c r="N35" s="380"/>
      <c r="O35" s="381"/>
      <c r="P35" s="395"/>
      <c r="Q35" s="395"/>
      <c r="R35" s="395" t="str">
        <f>IF(AND('Mapa final'!$O$70="Baja",'Mapa final'!$S$70="Menor"),CONCATENATE("R",'Mapa final'!$A$70),"")</f>
        <v>RG36</v>
      </c>
      <c r="S35" s="395"/>
      <c r="T35" s="395"/>
      <c r="U35" s="396"/>
      <c r="V35" s="394"/>
      <c r="W35" s="395"/>
      <c r="X35" s="395"/>
      <c r="Y35" s="395"/>
      <c r="Z35" s="395"/>
      <c r="AA35" s="396"/>
      <c r="AB35" s="427"/>
      <c r="AC35" s="428"/>
      <c r="AD35" s="428"/>
      <c r="AE35" s="428"/>
      <c r="AF35" s="428"/>
      <c r="AG35" s="429"/>
      <c r="AH35" s="411"/>
      <c r="AI35" s="409"/>
      <c r="AJ35" s="409"/>
      <c r="AK35" s="409"/>
      <c r="AL35" s="129"/>
      <c r="AM35" s="130" t="str">
        <f>IF(AND('Mapa final'!$O$31="Baja",'Mapa final'!$S$31="Catastrófico"),CONCATENATE("R",'Mapa final'!$A$31),"")</f>
        <v/>
      </c>
      <c r="AN35" s="42"/>
      <c r="AO35" s="485"/>
      <c r="AP35" s="486"/>
      <c r="AQ35" s="486"/>
      <c r="AR35" s="486"/>
      <c r="AS35" s="486"/>
      <c r="AT35" s="487"/>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row>
    <row r="36" spans="1:80" ht="30" customHeight="1">
      <c r="A36" s="42"/>
      <c r="B36" s="453"/>
      <c r="C36" s="453"/>
      <c r="D36" s="454"/>
      <c r="E36" s="446"/>
      <c r="F36" s="447"/>
      <c r="G36" s="447"/>
      <c r="H36" s="447"/>
      <c r="I36" s="447"/>
      <c r="J36" s="387" t="str">
        <f>IF(AND('Mapa final'!$O$29="Baja",'Mapa final'!$S$29="Leve"),CONCATENATE("R",'Mapa final'!$A$29),"")</f>
        <v/>
      </c>
      <c r="K36" s="388"/>
      <c r="L36" s="380" t="str">
        <f>IF(AND('Mapa final'!$O$30="Baja",'Mapa final'!$S$30="Leve"),CONCATENATE("R",'Mapa final'!$A$30),"")</f>
        <v/>
      </c>
      <c r="M36" s="380"/>
      <c r="N36" s="380"/>
      <c r="O36" s="381"/>
      <c r="P36" s="395" t="str">
        <f>IF(AND('Mapa final'!$O$29="Baja",'Mapa final'!$S$29="Menor"),CONCATENATE("R",'Mapa final'!$A$29),"")</f>
        <v/>
      </c>
      <c r="Q36" s="395"/>
      <c r="R36" s="395" t="str">
        <f>IF(AND('Mapa final'!$O$72="Baja",'Mapa final'!$S$72="Menor"),CONCATENATE("R",'Mapa final'!$A$72),"")</f>
        <v>RG38</v>
      </c>
      <c r="S36" s="395"/>
      <c r="T36" s="395" t="str">
        <f>IF(AND('Mapa final'!$O$48="Baja",'Mapa final'!$S$48="Media"),CONCATENATE("R",'Mapa final'!$A$48),"")</f>
        <v/>
      </c>
      <c r="U36" s="396"/>
      <c r="V36" s="394" t="str">
        <f>IF(AND('Mapa final'!$O$29="Baja",'Mapa final'!$S$29="Moderado"),CONCATENATE("R",'Mapa final'!$A$29),"")</f>
        <v/>
      </c>
      <c r="W36" s="395"/>
      <c r="X36" s="395" t="str">
        <f>IF(AND('Mapa final'!$O$30="Baja",'Mapa final'!$S$30="Moderado"),CONCATENATE("R",'Mapa final'!$A$30),"")</f>
        <v/>
      </c>
      <c r="Y36" s="395"/>
      <c r="Z36" s="395"/>
      <c r="AA36" s="396"/>
      <c r="AB36" s="427" t="str">
        <f>IF(AND('Mapa final'!$O$29="Baja",'Mapa final'!$S$29="Mayor"),CONCATENATE("R",'Mapa final'!$A$29),"")</f>
        <v/>
      </c>
      <c r="AC36" s="428"/>
      <c r="AD36" s="428" t="str">
        <f>IF(AND('Mapa final'!$O$30="Baja",'Mapa final'!$S$30="Mayor"),CONCATENATE("R",'Mapa final'!$A$30),"")</f>
        <v/>
      </c>
      <c r="AE36" s="428"/>
      <c r="AF36" s="428"/>
      <c r="AG36" s="429"/>
      <c r="AH36" s="411" t="str">
        <f>IF(AND('Mapa final'!$O$29="Baja",'Mapa final'!$S$29="Catastrófico"),CONCATENATE("R",'Mapa final'!$A$29),"")</f>
        <v/>
      </c>
      <c r="AI36" s="409"/>
      <c r="AJ36" s="409" t="str">
        <f>IF(AND('Mapa final'!$O$30="Baja",'Mapa final'!$S$30="Catastrófico"),CONCATENATE("R",'Mapa final'!$A$30),"")</f>
        <v/>
      </c>
      <c r="AK36" s="409"/>
      <c r="AL36" s="129"/>
      <c r="AM36" s="130"/>
      <c r="AN36" s="42"/>
      <c r="AO36" s="485"/>
      <c r="AP36" s="486"/>
      <c r="AQ36" s="486"/>
      <c r="AR36" s="486"/>
      <c r="AS36" s="486"/>
      <c r="AT36" s="487"/>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row>
    <row r="37" spans="1:80" ht="33" customHeight="1" thickBot="1">
      <c r="A37" s="42"/>
      <c r="B37" s="453"/>
      <c r="C37" s="453"/>
      <c r="D37" s="454"/>
      <c r="E37" s="449"/>
      <c r="F37" s="450"/>
      <c r="G37" s="450"/>
      <c r="H37" s="450"/>
      <c r="I37" s="450"/>
      <c r="J37" s="389"/>
      <c r="K37" s="390"/>
      <c r="L37" s="383"/>
      <c r="M37" s="383"/>
      <c r="N37" s="383"/>
      <c r="O37" s="391"/>
      <c r="P37" s="398"/>
      <c r="Q37" s="398"/>
      <c r="R37" s="395" t="str">
        <f>IF(AND('Mapa final'!$O$73="Baja",'Mapa final'!$S$73="Menor"),CONCATENATE("R",'Mapa final'!$A$73),"")</f>
        <v>RG39</v>
      </c>
      <c r="S37" s="395"/>
      <c r="T37" s="395"/>
      <c r="U37" s="396"/>
      <c r="V37" s="397"/>
      <c r="W37" s="398"/>
      <c r="X37" s="398"/>
      <c r="Y37" s="398"/>
      <c r="Z37" s="398"/>
      <c r="AA37" s="401"/>
      <c r="AB37" s="430"/>
      <c r="AC37" s="431"/>
      <c r="AD37" s="431"/>
      <c r="AE37" s="431"/>
      <c r="AF37" s="431"/>
      <c r="AG37" s="432"/>
      <c r="AH37" s="412"/>
      <c r="AI37" s="413"/>
      <c r="AJ37" s="413"/>
      <c r="AK37" s="413"/>
      <c r="AL37" s="131"/>
      <c r="AM37" s="132"/>
      <c r="AN37" s="42"/>
      <c r="AO37" s="488"/>
      <c r="AP37" s="489"/>
      <c r="AQ37" s="489"/>
      <c r="AR37" s="489"/>
      <c r="AS37" s="489"/>
      <c r="AT37" s="490"/>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row>
    <row r="38" spans="1:80" ht="32.25" customHeight="1">
      <c r="A38" s="42"/>
      <c r="B38" s="453"/>
      <c r="C38" s="453"/>
      <c r="D38" s="454"/>
      <c r="E38" s="443" t="s">
        <v>602</v>
      </c>
      <c r="F38" s="444"/>
      <c r="G38" s="444"/>
      <c r="H38" s="444"/>
      <c r="I38" s="445"/>
      <c r="J38" s="392" t="str">
        <f>IF(AND('Mapa final'!$O$15="Muy Baja",'Mapa final'!$S$15="Leve"),CONCATENATE("R",'Mapa final'!$A$15),"")</f>
        <v/>
      </c>
      <c r="K38" s="393"/>
      <c r="L38" s="385"/>
      <c r="M38" s="385"/>
      <c r="N38" s="385" t="str">
        <f>IF(AND('Mapa final'!$O$16="Muy Baja",'Mapa final'!$S$16="Leve"),CONCATENATE("R",'Mapa final'!$A$16),"")</f>
        <v/>
      </c>
      <c r="O38" s="386"/>
      <c r="P38" s="384" t="str">
        <f>IF(AND('Mapa final'!$O$15="Muy Baja",'Mapa final'!$S$15="Menor"),CONCATENATE("R",'Mapa final'!$A$15),"")</f>
        <v/>
      </c>
      <c r="Q38" s="385"/>
      <c r="R38" s="385"/>
      <c r="S38" s="385"/>
      <c r="T38" s="385" t="str">
        <f>IF(AND('Mapa final'!$O$16="Muy Baja",'Mapa final'!$S$16="Menor"),CONCATENATE("R",'Mapa final'!$A$16),"")</f>
        <v/>
      </c>
      <c r="U38" s="386"/>
      <c r="V38" s="136" t="str">
        <f>IF(AND('Mapa final'!$O$15="Muy Baja",'Mapa final'!$S$15="Moderado"),CONCATENATE("R",'Mapa final'!$A$15),"")</f>
        <v/>
      </c>
      <c r="W38" s="137"/>
      <c r="X38" s="137" t="str">
        <f>IF(AND('Mapa final'!$O$64="Muy Baja",'Mapa final'!$S$64="Moderado"),CONCATENATE("R",'Mapa final'!$A$64),"")</f>
        <v>RG31</v>
      </c>
      <c r="Y38" s="137" t="str">
        <f>IF(AND('Mapa final'!$O$65="Muy Baja",'Mapa final'!$S$65="Moderado"),CONCATENATE("R",'Mapa final'!$A$65),"")</f>
        <v>RG32</v>
      </c>
      <c r="Z38" s="137" t="str">
        <f>IF(AND('Mapa final'!$O$66="Muy Baja",'Mapa final'!$S$66="Moderado"),CONCATENATE("R",'Mapa final'!$A$66),"")</f>
        <v>RG33</v>
      </c>
      <c r="AA38" s="137" t="str">
        <f>IF(AND('Mapa final'!$O$67="Muy Baja",'Mapa final'!$S$67="Moderado"),CONCATENATE("R",'Mapa final'!$A$67),"")</f>
        <v>RG34</v>
      </c>
      <c r="AB38" s="433" t="str">
        <f>IF(AND('Mapa final'!$O$15="Muy Baja",'Mapa final'!$S$15="Mayor"),CONCATENATE("R",'Mapa final'!$A$15),"")</f>
        <v/>
      </c>
      <c r="AC38" s="434"/>
      <c r="AD38" s="434"/>
      <c r="AE38" s="434"/>
      <c r="AF38" s="434" t="str">
        <f>IF(AND('Mapa final'!$O$16="Muy Baja",'Mapa final'!$S$16="Mayor"),CONCATENATE("R",'Mapa final'!$A$16),"")</f>
        <v/>
      </c>
      <c r="AG38" s="435"/>
      <c r="AH38" s="415" t="str">
        <f>IF(AND('Mapa final'!$O$15="Muy Baja",'Mapa final'!$S$15="Catastrófico"),CONCATENATE("R",'Mapa final'!$A$15),"")</f>
        <v/>
      </c>
      <c r="AI38" s="416"/>
      <c r="AJ38" s="416"/>
      <c r="AK38" s="416"/>
      <c r="AL38" s="416" t="str">
        <f>IF(AND('Mapa final'!$O$16="Muy Baja",'Mapa final'!$S$16="Catastrófico"),CONCATENATE("R",'Mapa final'!$A$16),"")</f>
        <v/>
      </c>
      <c r="AM38" s="417"/>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row>
    <row r="39" spans="1:80" ht="15" customHeight="1">
      <c r="A39" s="42"/>
      <c r="B39" s="453"/>
      <c r="C39" s="453"/>
      <c r="D39" s="454"/>
      <c r="E39" s="446"/>
      <c r="F39" s="447"/>
      <c r="G39" s="447"/>
      <c r="H39" s="447"/>
      <c r="I39" s="448"/>
      <c r="J39" s="387"/>
      <c r="K39" s="388"/>
      <c r="L39" s="380"/>
      <c r="M39" s="380"/>
      <c r="N39" s="380"/>
      <c r="O39" s="381"/>
      <c r="P39" s="379"/>
      <c r="Q39" s="380"/>
      <c r="R39" s="380"/>
      <c r="S39" s="380"/>
      <c r="T39" s="380"/>
      <c r="U39" s="381"/>
      <c r="V39" s="138"/>
      <c r="W39" s="139"/>
      <c r="X39" s="139"/>
      <c r="Y39" s="139"/>
      <c r="Z39" s="139"/>
      <c r="AA39" s="140"/>
      <c r="AB39" s="427"/>
      <c r="AC39" s="428"/>
      <c r="AD39" s="428"/>
      <c r="AE39" s="428"/>
      <c r="AF39" s="428"/>
      <c r="AG39" s="429"/>
      <c r="AH39" s="411"/>
      <c r="AI39" s="409"/>
      <c r="AJ39" s="409"/>
      <c r="AK39" s="409"/>
      <c r="AL39" s="409"/>
      <c r="AM39" s="410"/>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row>
    <row r="40" spans="1:80">
      <c r="A40" s="42"/>
      <c r="B40" s="453"/>
      <c r="C40" s="453"/>
      <c r="D40" s="454"/>
      <c r="E40" s="446"/>
      <c r="F40" s="447"/>
      <c r="G40" s="447"/>
      <c r="H40" s="447"/>
      <c r="I40" s="448"/>
      <c r="J40" s="379" t="str">
        <f>IF(AND('Mapa final'!$O$17="Muy Baja",'Mapa final'!$S$17="Leve"),CONCATENATE("R",'Mapa final'!$A$17),"")</f>
        <v>RG3</v>
      </c>
      <c r="K40" s="380"/>
      <c r="L40" s="380" t="str">
        <f>IF(AND('Mapa final'!$O$19="Muy Baja",'Mapa final'!$S$19="Leve"),CONCATENATE("R",'Mapa final'!$A$19),"")</f>
        <v/>
      </c>
      <c r="M40" s="380"/>
      <c r="N40" s="380" t="str">
        <f>IF(AND('Mapa final'!$O$23="Muy Baja",'Mapa final'!$S$23="Leve"),CONCATENATE("R",'Mapa final'!$A$23),"")</f>
        <v/>
      </c>
      <c r="O40" s="381"/>
      <c r="P40" s="379" t="str">
        <f>IF(AND('Mapa final'!$O$17="Muy Baja",'Mapa final'!$S$17="Menor"),CONCATENATE("R",'Mapa final'!$A$17),"")</f>
        <v/>
      </c>
      <c r="Q40" s="380"/>
      <c r="R40" s="380" t="str">
        <f>IF(AND('Mapa final'!$O$19="Muy Baja",'Mapa final'!$S$19="Menor"),CONCATENATE("R",'Mapa final'!$A$19),"")</f>
        <v/>
      </c>
      <c r="S40" s="380"/>
      <c r="T40" s="380"/>
      <c r="U40" s="381"/>
      <c r="V40" s="394" t="str">
        <f>IF(AND('Mapa final'!$O$17="Muy Baja",'Mapa final'!$S$17="Moderado"),CONCATENATE("R",'Mapa final'!$A$17),"")</f>
        <v/>
      </c>
      <c r="W40" s="395"/>
      <c r="X40" s="395" t="str">
        <f>IF(AND('Mapa final'!$O$19="Muy Baja",'Mapa final'!$S$19="Moderado"),CONCATENATE("R",'Mapa final'!$A$19),"")</f>
        <v/>
      </c>
      <c r="Y40" s="395"/>
      <c r="Z40" s="395" t="str">
        <f>IF(AND('Mapa final'!$O$23="Muy Baja",'Mapa final'!$S$23="Moderado"),CONCATENATE("R",'Mapa final'!$A$23),"")</f>
        <v/>
      </c>
      <c r="AA40" s="396"/>
      <c r="AB40" s="427" t="str">
        <f>IF(AND('Mapa final'!$O$17="Muy Baja",'Mapa final'!$S$17="Mayor"),CONCATENATE("R",'Mapa final'!$A$17),"")</f>
        <v/>
      </c>
      <c r="AC40" s="428"/>
      <c r="AD40" s="428" t="str">
        <f>IF(AND('Mapa final'!$O$19="Muy Baja",'Mapa final'!$S$19="Mayor"),CONCATENATE("R",'Mapa final'!$A$19),"")</f>
        <v/>
      </c>
      <c r="AE40" s="428"/>
      <c r="AF40" s="428" t="str">
        <f>IF(AND('Mapa final'!$O$23="Muy Baja",'Mapa final'!$S$23="Mayor"),CONCATENATE("R",'Mapa final'!$A$23),"")</f>
        <v/>
      </c>
      <c r="AG40" s="429"/>
      <c r="AH40" s="411" t="str">
        <f>IF(AND('Mapa final'!$O$17="Muy Baja",'Mapa final'!$S$17="Catastrófico"),CONCATENATE("R",'Mapa final'!$A$17),"")</f>
        <v/>
      </c>
      <c r="AI40" s="409"/>
      <c r="AJ40" s="409" t="str">
        <f>IF(AND('Mapa final'!$O$19="Muy Baja",'Mapa final'!$S$19="Catastrófico"),CONCATENATE("R",'Mapa final'!$A$19),"")</f>
        <v/>
      </c>
      <c r="AK40" s="409"/>
      <c r="AL40" s="409" t="str">
        <f>IF(AND('Mapa final'!$O$23="Muy Baja",'Mapa final'!$S$23="Catastrófico"),CONCATENATE("R",'Mapa final'!$A$23),"")</f>
        <v/>
      </c>
      <c r="AM40" s="410"/>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row>
    <row r="41" spans="1:80">
      <c r="A41" s="42"/>
      <c r="B41" s="453"/>
      <c r="C41" s="453"/>
      <c r="D41" s="454"/>
      <c r="E41" s="446"/>
      <c r="F41" s="447"/>
      <c r="G41" s="447"/>
      <c r="H41" s="447"/>
      <c r="I41" s="448"/>
      <c r="J41" s="379"/>
      <c r="K41" s="380"/>
      <c r="L41" s="380"/>
      <c r="M41" s="380"/>
      <c r="N41" s="380"/>
      <c r="O41" s="381"/>
      <c r="P41" s="379"/>
      <c r="Q41" s="380"/>
      <c r="R41" s="380"/>
      <c r="S41" s="380"/>
      <c r="T41" s="380"/>
      <c r="U41" s="381"/>
      <c r="V41" s="394"/>
      <c r="W41" s="395"/>
      <c r="X41" s="395"/>
      <c r="Y41" s="395"/>
      <c r="Z41" s="395"/>
      <c r="AA41" s="396"/>
      <c r="AB41" s="427"/>
      <c r="AC41" s="428"/>
      <c r="AD41" s="428"/>
      <c r="AE41" s="428"/>
      <c r="AF41" s="428"/>
      <c r="AG41" s="429"/>
      <c r="AH41" s="411"/>
      <c r="AI41" s="409"/>
      <c r="AJ41" s="409"/>
      <c r="AK41" s="409"/>
      <c r="AL41" s="409"/>
      <c r="AM41" s="410"/>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row>
    <row r="42" spans="1:80">
      <c r="A42" s="42"/>
      <c r="B42" s="453"/>
      <c r="C42" s="453"/>
      <c r="D42" s="454"/>
      <c r="E42" s="446"/>
      <c r="F42" s="447"/>
      <c r="G42" s="447"/>
      <c r="H42" s="447"/>
      <c r="I42" s="448"/>
      <c r="J42" s="387" t="str">
        <f>IF(AND('Mapa final'!$O$24="Muy Baja",'Mapa final'!$S$24="Leve"),CONCATENATE("R",'Mapa final'!$A$24),"")</f>
        <v/>
      </c>
      <c r="K42" s="388"/>
      <c r="L42" s="380" t="str">
        <f>IF(AND('Mapa final'!$O$25="Muy Baja",'Mapa final'!$S$25="Leve"),CONCATENATE("R",'Mapa final'!$A$25),"")</f>
        <v/>
      </c>
      <c r="M42" s="380"/>
      <c r="N42" s="380" t="str">
        <f>IF(AND('Mapa final'!$O$27="Muy Baja",'Mapa final'!$S$27="Leve"),CONCATENATE("R",'Mapa final'!$A$27),"")</f>
        <v/>
      </c>
      <c r="O42" s="381"/>
      <c r="P42" s="379" t="str">
        <f>IF(AND('Mapa final'!$O$24="Muy Baja",'Mapa final'!$S$24="Menor"),CONCATENATE("R",'Mapa final'!$A$24),"")</f>
        <v/>
      </c>
      <c r="Q42" s="380"/>
      <c r="R42" s="380" t="str">
        <f>IF(AND('Mapa final'!$O$25="Muy Baja",'Mapa final'!$S$25="Menor"),CONCATENATE("R",'Mapa final'!$A$25),"")</f>
        <v/>
      </c>
      <c r="S42" s="380"/>
      <c r="T42" s="380" t="str">
        <f>IF(AND('Mapa final'!$O$27="Muy Baja",'Mapa final'!$S$27="Menor"),CONCATENATE("R",'Mapa final'!$A$27),"")</f>
        <v/>
      </c>
      <c r="U42" s="381"/>
      <c r="V42" s="394" t="str">
        <f>IF(AND('Mapa final'!$O$24="Muy Baja",'Mapa final'!$S$24="Moderado"),CONCATENATE("R",'Mapa final'!$A$24),"")</f>
        <v/>
      </c>
      <c r="W42" s="395"/>
      <c r="X42" s="395" t="str">
        <f>IF(AND('Mapa final'!$O$71="Muy Baja",'Mapa final'!$S$71="Moderado"),CONCATENATE("R",'Mapa final'!$A$71),"")</f>
        <v>RG37</v>
      </c>
      <c r="Y42" s="395"/>
      <c r="Z42" s="395" t="str">
        <f>IF(AND('Mapa final'!$O$27="Muy Baja",'Mapa final'!$S$27="Moderado"),CONCATENATE("R",'Mapa final'!$A$27),"")</f>
        <v/>
      </c>
      <c r="AA42" s="396"/>
      <c r="AB42" s="427" t="str">
        <f>IF(AND('Mapa final'!$O$24="Muy Baja",'Mapa final'!$S$24="Mayor"),CONCATENATE("R",'Mapa final'!$A$24),"")</f>
        <v/>
      </c>
      <c r="AC42" s="428"/>
      <c r="AD42" s="428" t="str">
        <f>IF(AND('Mapa final'!$O$25="Muy Baja",'Mapa final'!$S$25="Mayor"),CONCATENATE("R",'Mapa final'!$A$25),"")</f>
        <v/>
      </c>
      <c r="AE42" s="428"/>
      <c r="AF42" s="428" t="str">
        <f>IF(AND('Mapa final'!$O$27="Muy Baja",'Mapa final'!$S$27="Mayor"),CONCATENATE("R",'Mapa final'!$A$27),"")</f>
        <v/>
      </c>
      <c r="AG42" s="429"/>
      <c r="AH42" s="411" t="str">
        <f>IF(AND('Mapa final'!$O$24="Muy Baja",'Mapa final'!$S$24="Catastrófico"),CONCATENATE("R",'Mapa final'!$A$24),"")</f>
        <v/>
      </c>
      <c r="AI42" s="409"/>
      <c r="AJ42" s="409" t="str">
        <f>IF(AND('Mapa final'!$O$25="Muy Baja",'Mapa final'!$S$25="Catastrófico"),CONCATENATE("R",'Mapa final'!$A$25),"")</f>
        <v/>
      </c>
      <c r="AK42" s="409"/>
      <c r="AL42" s="409" t="str">
        <f>IF(AND('Mapa final'!$O$27="Muy Baja",'Mapa final'!$S$27="Catastrófico"),CONCATENATE("R",'Mapa final'!$A$27),"")</f>
        <v/>
      </c>
      <c r="AM42" s="410"/>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row>
    <row r="43" spans="1:80">
      <c r="A43" s="42"/>
      <c r="B43" s="453"/>
      <c r="C43" s="453"/>
      <c r="D43" s="454"/>
      <c r="E43" s="446"/>
      <c r="F43" s="447"/>
      <c r="G43" s="447"/>
      <c r="H43" s="447"/>
      <c r="I43" s="448"/>
      <c r="J43" s="387"/>
      <c r="K43" s="388"/>
      <c r="L43" s="380"/>
      <c r="M43" s="380"/>
      <c r="N43" s="380"/>
      <c r="O43" s="381"/>
      <c r="P43" s="379"/>
      <c r="Q43" s="380"/>
      <c r="R43" s="380"/>
      <c r="S43" s="380"/>
      <c r="T43" s="380"/>
      <c r="U43" s="381"/>
      <c r="V43" s="394"/>
      <c r="W43" s="395"/>
      <c r="X43" s="395"/>
      <c r="Y43" s="395"/>
      <c r="Z43" s="395"/>
      <c r="AA43" s="396"/>
      <c r="AB43" s="427"/>
      <c r="AC43" s="428"/>
      <c r="AD43" s="428"/>
      <c r="AE43" s="428"/>
      <c r="AF43" s="428"/>
      <c r="AG43" s="429"/>
      <c r="AH43" s="411"/>
      <c r="AI43" s="409"/>
      <c r="AJ43" s="409"/>
      <c r="AK43" s="409"/>
      <c r="AL43" s="409"/>
      <c r="AM43" s="410"/>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row>
    <row r="44" spans="1:80" ht="15" customHeight="1">
      <c r="A44" s="42"/>
      <c r="B44" s="453"/>
      <c r="C44" s="453"/>
      <c r="D44" s="454"/>
      <c r="E44" s="446"/>
      <c r="F44" s="447"/>
      <c r="G44" s="447"/>
      <c r="H44" s="447"/>
      <c r="I44" s="448"/>
      <c r="J44" s="387" t="str">
        <f>IF(AND('Mapa final'!$O$29="Muy Baja",'Mapa final'!$S$29="Leve"),CONCATENATE("R",'Mapa final'!$A$29),"")</f>
        <v/>
      </c>
      <c r="K44" s="388"/>
      <c r="L44" s="380" t="str">
        <f>IF(AND('Mapa final'!$O$30="Muy Baja",'Mapa final'!$S$30="Leve"),CONCATENATE("R",'Mapa final'!$A$30),"")</f>
        <v/>
      </c>
      <c r="M44" s="380"/>
      <c r="N44" s="380"/>
      <c r="O44" s="381"/>
      <c r="P44" s="379" t="str">
        <f>IF(AND('Mapa final'!$O$29="Muy Baja",'Mapa final'!$S$29="Menor"),CONCATENATE("R",'Mapa final'!$A$29),"")</f>
        <v/>
      </c>
      <c r="Q44" s="380"/>
      <c r="R44" s="380" t="str">
        <f>IF(AND('Mapa final'!$O$30="Muy Baja",'Mapa final'!$S$30="Menor"),CONCATENATE("R",'Mapa final'!$A$30),"")</f>
        <v/>
      </c>
      <c r="S44" s="380"/>
      <c r="T44" s="380" t="str">
        <f>IF(AND('Mapa final'!$O$52="Muy Baja",'Mapa final'!$S$52="Menor"),CONCATENATE("R",'Mapa final'!$A$52),"")</f>
        <v>RG23</v>
      </c>
      <c r="U44" s="380"/>
      <c r="V44" s="394" t="str">
        <f>IF(AND('Mapa final'!$O$29="Muy Baja",'Mapa final'!$S$29="Moderado"),CONCATENATE("R",'Mapa final'!$A$29),"")</f>
        <v/>
      </c>
      <c r="W44" s="395"/>
      <c r="X44" s="395" t="str">
        <f>IF(AND('Mapa final'!$O$30="Muy Baja",'Mapa final'!$S$30="Moderado"),CONCATENATE("R",'Mapa final'!$A$30),"")</f>
        <v/>
      </c>
      <c r="Y44" s="395"/>
      <c r="Z44" s="395" t="str">
        <f>IF(AND('Mapa final'!$O$58="Muy Baja",'Mapa final'!$S$58="Moderado"),CONCATENATE("R",'Mapa final'!$A$58),"")</f>
        <v>RG26</v>
      </c>
      <c r="AA44" s="395"/>
      <c r="AB44" s="427" t="str">
        <f>IF(AND('Mapa final'!$O$29="Muy Baja",'Mapa final'!$S$29="Mayor"),CONCATENATE("R",'Mapa final'!$A$29),"")</f>
        <v/>
      </c>
      <c r="AC44" s="428"/>
      <c r="AD44" s="428" t="str">
        <f>IF(AND('Mapa final'!$O$30="Muy Baja",'Mapa final'!$S$30="Mayor"),CONCATENATE("R",'Mapa final'!$A$30),"")</f>
        <v/>
      </c>
      <c r="AE44" s="428"/>
      <c r="AF44" s="428"/>
      <c r="AG44" s="429"/>
      <c r="AH44" s="411" t="str">
        <f>IF(AND('Mapa final'!$O$29="Muy Baja",'Mapa final'!$S$29="Catastrófico"),CONCATENATE("R",'Mapa final'!$A$29),"")</f>
        <v/>
      </c>
      <c r="AI44" s="409"/>
      <c r="AJ44" s="409" t="str">
        <f>IF(AND('Mapa final'!$O$30="Muy Baja",'Mapa final'!$S$30="Catastrófico"),CONCATENATE("R",'Mapa final'!$A$30),"")</f>
        <v/>
      </c>
      <c r="AK44" s="409"/>
      <c r="AL44" s="409"/>
      <c r="AM44" s="410"/>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row>
    <row r="45" spans="1:80" ht="15.75" customHeight="1" thickBot="1">
      <c r="A45" s="42"/>
      <c r="B45" s="453"/>
      <c r="C45" s="453"/>
      <c r="D45" s="454"/>
      <c r="E45" s="449"/>
      <c r="F45" s="450"/>
      <c r="G45" s="450"/>
      <c r="H45" s="450"/>
      <c r="I45" s="451"/>
      <c r="J45" s="389"/>
      <c r="K45" s="390"/>
      <c r="L45" s="383"/>
      <c r="M45" s="383"/>
      <c r="N45" s="383"/>
      <c r="O45" s="391"/>
      <c r="P45" s="382"/>
      <c r="Q45" s="383"/>
      <c r="R45" s="383"/>
      <c r="S45" s="383"/>
      <c r="T45" s="383"/>
      <c r="U45" s="383"/>
      <c r="V45" s="397"/>
      <c r="W45" s="398"/>
      <c r="X45" s="398"/>
      <c r="Y45" s="398"/>
      <c r="Z45" s="398"/>
      <c r="AA45" s="398"/>
      <c r="AB45" s="430"/>
      <c r="AC45" s="431"/>
      <c r="AD45" s="431"/>
      <c r="AE45" s="431"/>
      <c r="AF45" s="431"/>
      <c r="AG45" s="432"/>
      <c r="AH45" s="412"/>
      <c r="AI45" s="413"/>
      <c r="AJ45" s="413"/>
      <c r="AK45" s="413"/>
      <c r="AL45" s="413"/>
      <c r="AM45" s="414"/>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row>
    <row r="46" spans="1:80">
      <c r="A46" s="42"/>
      <c r="B46" s="42"/>
      <c r="C46" s="42"/>
      <c r="D46" s="42"/>
      <c r="E46" s="42"/>
      <c r="F46" s="42"/>
      <c r="G46" s="42"/>
      <c r="H46" s="42"/>
      <c r="I46" s="42"/>
      <c r="J46" s="443" t="s">
        <v>603</v>
      </c>
      <c r="K46" s="444"/>
      <c r="L46" s="444"/>
      <c r="M46" s="444"/>
      <c r="N46" s="444"/>
      <c r="O46" s="445"/>
      <c r="P46" s="443" t="s">
        <v>604</v>
      </c>
      <c r="Q46" s="444"/>
      <c r="R46" s="444"/>
      <c r="S46" s="444"/>
      <c r="T46" s="444"/>
      <c r="U46" s="445"/>
      <c r="V46" s="443" t="s">
        <v>605</v>
      </c>
      <c r="W46" s="444"/>
      <c r="X46" s="444"/>
      <c r="Y46" s="444"/>
      <c r="Z46" s="444"/>
      <c r="AA46" s="445"/>
      <c r="AB46" s="443" t="s">
        <v>606</v>
      </c>
      <c r="AC46" s="452"/>
      <c r="AD46" s="444"/>
      <c r="AE46" s="444"/>
      <c r="AF46" s="444"/>
      <c r="AG46" s="445"/>
      <c r="AH46" s="443" t="s">
        <v>607</v>
      </c>
      <c r="AI46" s="444"/>
      <c r="AJ46" s="444"/>
      <c r="AK46" s="444"/>
      <c r="AL46" s="444"/>
      <c r="AM46" s="445"/>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row>
    <row r="47" spans="1:80">
      <c r="A47" s="42"/>
      <c r="B47" s="42"/>
      <c r="C47" s="42"/>
      <c r="D47" s="42"/>
      <c r="E47" s="42"/>
      <c r="F47" s="42"/>
      <c r="G47" s="42"/>
      <c r="H47" s="42"/>
      <c r="I47" s="42"/>
      <c r="J47" s="446"/>
      <c r="K47" s="447"/>
      <c r="L47" s="447"/>
      <c r="M47" s="447"/>
      <c r="N47" s="447"/>
      <c r="O47" s="448"/>
      <c r="P47" s="446"/>
      <c r="Q47" s="447"/>
      <c r="R47" s="447"/>
      <c r="S47" s="447"/>
      <c r="T47" s="447"/>
      <c r="U47" s="448"/>
      <c r="V47" s="446"/>
      <c r="W47" s="447"/>
      <c r="X47" s="447"/>
      <c r="Y47" s="447"/>
      <c r="Z47" s="447"/>
      <c r="AA47" s="448"/>
      <c r="AB47" s="446"/>
      <c r="AC47" s="447"/>
      <c r="AD47" s="447"/>
      <c r="AE47" s="447"/>
      <c r="AF47" s="447"/>
      <c r="AG47" s="448"/>
      <c r="AH47" s="446"/>
      <c r="AI47" s="447"/>
      <c r="AJ47" s="447"/>
      <c r="AK47" s="447"/>
      <c r="AL47" s="447"/>
      <c r="AM47" s="448"/>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row>
    <row r="48" spans="1:80">
      <c r="A48" s="42"/>
      <c r="B48" s="42"/>
      <c r="C48" s="42"/>
      <c r="D48" s="42"/>
      <c r="E48" s="42"/>
      <c r="F48" s="42"/>
      <c r="G48" s="42"/>
      <c r="H48" s="42"/>
      <c r="I48" s="42"/>
      <c r="J48" s="446"/>
      <c r="K48" s="447"/>
      <c r="L48" s="447"/>
      <c r="M48" s="447"/>
      <c r="N48" s="447"/>
      <c r="O48" s="448"/>
      <c r="P48" s="446"/>
      <c r="Q48" s="447"/>
      <c r="R48" s="447"/>
      <c r="S48" s="447"/>
      <c r="T48" s="447"/>
      <c r="U48" s="448"/>
      <c r="V48" s="446"/>
      <c r="W48" s="447"/>
      <c r="X48" s="447"/>
      <c r="Y48" s="447"/>
      <c r="Z48" s="447"/>
      <c r="AA48" s="448"/>
      <c r="AB48" s="446"/>
      <c r="AC48" s="447"/>
      <c r="AD48" s="447"/>
      <c r="AE48" s="447"/>
      <c r="AF48" s="447"/>
      <c r="AG48" s="448"/>
      <c r="AH48" s="446"/>
      <c r="AI48" s="447"/>
      <c r="AJ48" s="447"/>
      <c r="AK48" s="447"/>
      <c r="AL48" s="447"/>
      <c r="AM48" s="448"/>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row>
    <row r="49" spans="1:80">
      <c r="A49" s="42"/>
      <c r="B49" s="42"/>
      <c r="C49" s="42"/>
      <c r="D49" s="42"/>
      <c r="E49" s="42"/>
      <c r="F49" s="42"/>
      <c r="G49" s="42"/>
      <c r="H49" s="42"/>
      <c r="I49" s="42"/>
      <c r="J49" s="446"/>
      <c r="K49" s="447"/>
      <c r="L49" s="447"/>
      <c r="M49" s="447"/>
      <c r="N49" s="447"/>
      <c r="O49" s="448"/>
      <c r="P49" s="446"/>
      <c r="Q49" s="447"/>
      <c r="R49" s="447"/>
      <c r="S49" s="447"/>
      <c r="T49" s="447"/>
      <c r="U49" s="448"/>
      <c r="V49" s="446"/>
      <c r="W49" s="447"/>
      <c r="X49" s="447"/>
      <c r="Y49" s="447"/>
      <c r="Z49" s="447"/>
      <c r="AA49" s="448"/>
      <c r="AB49" s="446"/>
      <c r="AC49" s="447"/>
      <c r="AD49" s="447"/>
      <c r="AE49" s="447"/>
      <c r="AF49" s="447"/>
      <c r="AG49" s="448"/>
      <c r="AH49" s="446"/>
      <c r="AI49" s="447"/>
      <c r="AJ49" s="447"/>
      <c r="AK49" s="447"/>
      <c r="AL49" s="447"/>
      <c r="AM49" s="448"/>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row>
    <row r="50" spans="1:80">
      <c r="A50" s="42"/>
      <c r="B50" s="42"/>
      <c r="C50" s="42"/>
      <c r="D50" s="42"/>
      <c r="E50" s="42"/>
      <c r="F50" s="42"/>
      <c r="G50" s="42"/>
      <c r="H50" s="42"/>
      <c r="I50" s="42"/>
      <c r="J50" s="446"/>
      <c r="K50" s="447"/>
      <c r="L50" s="447"/>
      <c r="M50" s="447"/>
      <c r="N50" s="447"/>
      <c r="O50" s="448"/>
      <c r="P50" s="446"/>
      <c r="Q50" s="447"/>
      <c r="R50" s="447"/>
      <c r="S50" s="447"/>
      <c r="T50" s="447"/>
      <c r="U50" s="448"/>
      <c r="V50" s="446"/>
      <c r="W50" s="447"/>
      <c r="X50" s="447"/>
      <c r="Y50" s="447"/>
      <c r="Z50" s="447"/>
      <c r="AA50" s="448"/>
      <c r="AB50" s="446"/>
      <c r="AC50" s="447"/>
      <c r="AD50" s="447"/>
      <c r="AE50" s="447"/>
      <c r="AF50" s="447"/>
      <c r="AG50" s="448"/>
      <c r="AH50" s="446"/>
      <c r="AI50" s="447"/>
      <c r="AJ50" s="447"/>
      <c r="AK50" s="447"/>
      <c r="AL50" s="447"/>
      <c r="AM50" s="448"/>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row>
    <row r="51" spans="1:80" ht="15.75" thickBot="1">
      <c r="A51" s="42"/>
      <c r="B51" s="42"/>
      <c r="C51" s="42"/>
      <c r="D51" s="42"/>
      <c r="E51" s="42"/>
      <c r="F51" s="42"/>
      <c r="G51" s="42"/>
      <c r="H51" s="42"/>
      <c r="I51" s="42"/>
      <c r="J51" s="449"/>
      <c r="K51" s="450"/>
      <c r="L51" s="450"/>
      <c r="M51" s="450"/>
      <c r="N51" s="450"/>
      <c r="O51" s="451"/>
      <c r="P51" s="449"/>
      <c r="Q51" s="450"/>
      <c r="R51" s="450"/>
      <c r="S51" s="450"/>
      <c r="T51" s="450"/>
      <c r="U51" s="451"/>
      <c r="V51" s="449"/>
      <c r="W51" s="450"/>
      <c r="X51" s="450"/>
      <c r="Y51" s="450"/>
      <c r="Z51" s="450"/>
      <c r="AA51" s="451"/>
      <c r="AB51" s="449"/>
      <c r="AC51" s="450"/>
      <c r="AD51" s="450"/>
      <c r="AE51" s="450"/>
      <c r="AF51" s="450"/>
      <c r="AG51" s="451"/>
      <c r="AH51" s="449"/>
      <c r="AI51" s="450"/>
      <c r="AJ51" s="450"/>
      <c r="AK51" s="450"/>
      <c r="AL51" s="450"/>
      <c r="AM51" s="451"/>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row>
    <row r="52" spans="1:80">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row>
    <row r="53" spans="1:80" ht="15" customHeight="1">
      <c r="A53" s="42"/>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row>
    <row r="54" spans="1:80" ht="15" customHeight="1">
      <c r="A54" s="42"/>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row>
    <row r="55" spans="1:80">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row>
    <row r="56" spans="1:80">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row>
    <row r="57" spans="1:80">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row>
    <row r="58" spans="1:80">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row>
    <row r="59" spans="1:80">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row>
    <row r="60" spans="1:80">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row>
    <row r="61" spans="1:80">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row>
    <row r="62" spans="1:80">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row>
    <row r="63" spans="1:80">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row>
    <row r="64" spans="1:80">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row>
    <row r="65" spans="1:80">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row>
    <row r="66" spans="1:80">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row>
    <row r="67" spans="1:80">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row>
    <row r="68" spans="1:80">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row>
    <row r="69" spans="1:80">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row>
    <row r="70" spans="1:8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row>
    <row r="71" spans="1:80">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row>
    <row r="72" spans="1:80">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row>
    <row r="73" spans="1:80">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row>
    <row r="74" spans="1:80">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row>
    <row r="75" spans="1:80">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row>
    <row r="76" spans="1:80">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row>
    <row r="77" spans="1:80">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row>
    <row r="78" spans="1:80">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row>
    <row r="79" spans="1:80">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row>
    <row r="80" spans="1:8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row>
    <row r="81" spans="1:63">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row>
    <row r="82" spans="1:63">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row>
    <row r="83" spans="1:63">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row>
    <row r="84" spans="1:63">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row>
    <row r="85" spans="1:63">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row>
    <row r="86" spans="1:63">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row>
    <row r="87" spans="1:63">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row>
    <row r="88" spans="1:63">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row>
    <row r="89" spans="1:63">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row>
    <row r="90" spans="1:63">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row>
    <row r="91" spans="1:63">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row>
    <row r="92" spans="1:63">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row>
    <row r="93" spans="1:63">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row>
    <row r="94" spans="1:63">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row>
    <row r="95" spans="1:63">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row>
    <row r="96" spans="1:63">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row>
    <row r="97" spans="1:63">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row>
    <row r="98" spans="1:63">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row>
    <row r="99" spans="1:63">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row>
    <row r="100" spans="1:63">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row>
    <row r="101" spans="1:63">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row>
    <row r="102" spans="1:63">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row>
    <row r="103" spans="1:63">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row>
    <row r="104" spans="1:63">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row>
    <row r="105" spans="1:63">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row>
    <row r="106" spans="1:63">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row>
    <row r="107" spans="1:63">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row>
    <row r="108" spans="1:63">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row>
    <row r="109" spans="1:63">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row>
    <row r="110" spans="1:63">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row>
    <row r="111" spans="1:63">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row>
    <row r="112" spans="1:63">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row>
    <row r="113" spans="1:63">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row>
    <row r="114" spans="1:63">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row>
    <row r="115" spans="1:63">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row>
    <row r="116" spans="1:63">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row>
    <row r="117" spans="1:63">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row>
    <row r="118" spans="1:63">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row>
    <row r="119" spans="1:63">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row>
    <row r="120" spans="1:63">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row>
    <row r="121" spans="1:63">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row>
    <row r="122" spans="1:63">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row>
    <row r="123" spans="1:63">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row>
    <row r="124" spans="1:63">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row>
    <row r="125" spans="1:63">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row>
    <row r="126" spans="1:63">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row>
    <row r="127" spans="1:63">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row>
    <row r="128" spans="1:63">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row>
    <row r="129" spans="2:63">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row>
    <row r="130" spans="2:63">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row>
    <row r="131" spans="2:63">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row>
    <row r="132" spans="2:63">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row>
    <row r="133" spans="2:63">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row>
    <row r="134" spans="2:63">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row>
    <row r="135" spans="2:63">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row>
    <row r="136" spans="2:63">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row>
    <row r="137" spans="2:63">
      <c r="B137" s="42"/>
      <c r="C137" s="42"/>
      <c r="D137" s="42"/>
      <c r="E137" s="42"/>
      <c r="F137" s="42"/>
      <c r="G137" s="42"/>
      <c r="H137" s="42"/>
      <c r="I137" s="42"/>
    </row>
    <row r="138" spans="2:63">
      <c r="B138" s="42"/>
      <c r="C138" s="42"/>
      <c r="D138" s="42"/>
      <c r="E138" s="42"/>
      <c r="F138" s="42"/>
      <c r="G138" s="42"/>
      <c r="H138" s="42"/>
      <c r="I138" s="42"/>
    </row>
    <row r="139" spans="2:63">
      <c r="B139" s="42"/>
      <c r="C139" s="42"/>
      <c r="D139" s="42"/>
      <c r="E139" s="42"/>
      <c r="F139" s="42"/>
      <c r="G139" s="42"/>
      <c r="H139" s="42"/>
      <c r="I139" s="42"/>
    </row>
    <row r="140" spans="2:63">
      <c r="B140" s="42"/>
      <c r="C140" s="42"/>
      <c r="D140" s="42"/>
      <c r="E140" s="42"/>
      <c r="F140" s="42"/>
      <c r="G140" s="42"/>
      <c r="H140" s="42"/>
      <c r="I140" s="42"/>
    </row>
  </sheetData>
  <mergeCells count="312">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H36:AI37"/>
    <mergeCell ref="AJ36:AK37"/>
    <mergeCell ref="AH30:AI31"/>
    <mergeCell ref="AJ30:AK31"/>
    <mergeCell ref="AH32:AI33"/>
    <mergeCell ref="AJ32:AK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P24:Q25"/>
    <mergeCell ref="R24:S25"/>
    <mergeCell ref="T24:U25"/>
    <mergeCell ref="V26:W27"/>
    <mergeCell ref="X26:Y27"/>
    <mergeCell ref="Z26:AA27"/>
    <mergeCell ref="V28:W29"/>
    <mergeCell ref="X28:Y29"/>
    <mergeCell ref="Z28:AA29"/>
    <mergeCell ref="T22:U23"/>
    <mergeCell ref="X22:Y23"/>
    <mergeCell ref="Z22:AA23"/>
    <mergeCell ref="V24:W25"/>
    <mergeCell ref="X24:Y25"/>
    <mergeCell ref="Z24:AA25"/>
    <mergeCell ref="V22:W23"/>
    <mergeCell ref="V34:W35"/>
    <mergeCell ref="X34:Y35"/>
    <mergeCell ref="Z34:AA35"/>
    <mergeCell ref="V36:W37"/>
    <mergeCell ref="X36:Y37"/>
    <mergeCell ref="Z36:AA37"/>
    <mergeCell ref="V30:W31"/>
    <mergeCell ref="X30:Y31"/>
    <mergeCell ref="Z30:AA31"/>
    <mergeCell ref="V32:W33"/>
    <mergeCell ref="X32:Y33"/>
    <mergeCell ref="Z32:AA33"/>
    <mergeCell ref="P34:Q35"/>
    <mergeCell ref="T34:U35"/>
    <mergeCell ref="P36:Q37"/>
    <mergeCell ref="T36:U37"/>
    <mergeCell ref="P30:Q31"/>
    <mergeCell ref="R30:S31"/>
    <mergeCell ref="T30:U31"/>
    <mergeCell ref="P32:Q33"/>
    <mergeCell ref="R32:S33"/>
    <mergeCell ref="T32:U33"/>
    <mergeCell ref="R35:S35"/>
    <mergeCell ref="R36:S36"/>
    <mergeCell ref="R34:S34"/>
    <mergeCell ref="R37:S37"/>
    <mergeCell ref="V42:W43"/>
    <mergeCell ref="X42:Y43"/>
    <mergeCell ref="Z42:AA43"/>
    <mergeCell ref="V44:W45"/>
    <mergeCell ref="X44:Y45"/>
    <mergeCell ref="Z44:AA45"/>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30" zoomScaleNormal="30" workbookViewId="0">
      <selection activeCell="W72" sqref="W72"/>
    </sheetView>
  </sheetViews>
  <sheetFormatPr defaultColWidth="11.42578125" defaultRowHeight="15"/>
  <cols>
    <col min="2" max="9" width="5.7109375" customWidth="1"/>
    <col min="10" max="10" width="34.7109375" customWidth="1"/>
    <col min="11" max="11" width="21.140625" customWidth="1"/>
    <col min="12" max="12" width="12" customWidth="1"/>
    <col min="13" max="14" width="5.7109375" customWidth="1"/>
    <col min="15" max="15" width="21.85546875" customWidth="1"/>
    <col min="16" max="16" width="19" customWidth="1"/>
    <col min="17" max="17" width="24.28515625" customWidth="1"/>
    <col min="18" max="18" width="24.7109375" customWidth="1"/>
    <col min="19" max="19" width="24.42578125" customWidth="1"/>
    <col min="20" max="20" width="23.5703125" customWidth="1"/>
    <col min="21" max="22" width="24.5703125" customWidth="1"/>
    <col min="23" max="23" width="24.7109375" customWidth="1"/>
    <col min="24" max="24" width="28.85546875" customWidth="1"/>
    <col min="25" max="25" width="22.42578125" customWidth="1"/>
    <col min="26" max="26" width="31.42578125" customWidth="1"/>
    <col min="27" max="27" width="27.28515625" customWidth="1"/>
    <col min="28" max="28" width="13.140625" customWidth="1"/>
    <col min="29" max="29" width="26" customWidth="1"/>
    <col min="30" max="30" width="27.7109375" customWidth="1"/>
    <col min="31" max="32" width="5.7109375" customWidth="1"/>
    <col min="33" max="33" width="12" customWidth="1"/>
    <col min="34" max="34" width="8.5703125" customWidth="1"/>
    <col min="35" max="36" width="5.7109375" customWidth="1"/>
    <col min="37" max="37" width="27.7109375" customWidth="1"/>
    <col min="38" max="38" width="5.7109375" customWidth="1"/>
    <col min="39" max="39" width="15.42578125" customWidth="1"/>
    <col min="41" max="46" width="5.7109375" customWidth="1"/>
  </cols>
  <sheetData>
    <row r="1" spans="1:91">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row>
    <row r="2" spans="1:91" ht="18" customHeight="1">
      <c r="A2" s="42"/>
      <c r="B2" s="520" t="s">
        <v>608</v>
      </c>
      <c r="C2" s="520"/>
      <c r="D2" s="520"/>
      <c r="E2" s="520"/>
      <c r="F2" s="520"/>
      <c r="G2" s="520"/>
      <c r="H2" s="520"/>
      <c r="I2" s="520"/>
      <c r="J2" s="521" t="s">
        <v>15</v>
      </c>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180"/>
      <c r="AO2" s="180"/>
      <c r="AP2" s="180"/>
      <c r="AQ2" s="180"/>
      <c r="AR2" s="180"/>
      <c r="AS2" s="180"/>
      <c r="AT2" s="180"/>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row>
    <row r="3" spans="1:91" ht="18.75" customHeight="1">
      <c r="A3" s="42"/>
      <c r="B3" s="520"/>
      <c r="C3" s="520"/>
      <c r="D3" s="520"/>
      <c r="E3" s="520"/>
      <c r="F3" s="520"/>
      <c r="G3" s="520"/>
      <c r="H3" s="520"/>
      <c r="I3" s="520"/>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180"/>
      <c r="AO3" s="180"/>
      <c r="AP3" s="180"/>
      <c r="AQ3" s="180"/>
      <c r="AR3" s="180"/>
      <c r="AS3" s="180"/>
      <c r="AT3" s="180"/>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row>
    <row r="4" spans="1:91" ht="15" customHeight="1">
      <c r="A4" s="42"/>
      <c r="B4" s="520"/>
      <c r="C4" s="520"/>
      <c r="D4" s="520"/>
      <c r="E4" s="520"/>
      <c r="F4" s="520"/>
      <c r="G4" s="520"/>
      <c r="H4" s="520"/>
      <c r="I4" s="520"/>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180"/>
      <c r="AO4" s="180"/>
      <c r="AP4" s="180"/>
      <c r="AQ4" s="180"/>
      <c r="AR4" s="180"/>
      <c r="AS4" s="180"/>
      <c r="AT4" s="180"/>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row>
    <row r="5" spans="1:91" ht="36.75" thickBot="1">
      <c r="A5" s="42"/>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91" ht="15" customHeight="1">
      <c r="A6" s="42"/>
      <c r="B6" s="522" t="s">
        <v>578</v>
      </c>
      <c r="C6" s="522"/>
      <c r="D6" s="523"/>
      <c r="E6" s="491" t="s">
        <v>595</v>
      </c>
      <c r="F6" s="492"/>
      <c r="G6" s="492"/>
      <c r="H6" s="492"/>
      <c r="I6" s="493"/>
      <c r="J6" s="141"/>
      <c r="K6" s="142"/>
      <c r="L6" s="142"/>
      <c r="M6" s="142"/>
      <c r="N6" s="142"/>
      <c r="O6" s="143"/>
      <c r="P6" s="141"/>
      <c r="Q6" s="142"/>
      <c r="R6" s="142"/>
      <c r="S6" s="142"/>
      <c r="T6" s="142"/>
      <c r="U6" s="143"/>
      <c r="V6" s="141"/>
      <c r="W6" s="142"/>
      <c r="X6" s="142"/>
      <c r="Y6" s="142"/>
      <c r="Z6" s="142"/>
      <c r="AA6" s="143"/>
      <c r="AB6" s="141"/>
      <c r="AC6" s="142"/>
      <c r="AD6" s="142"/>
      <c r="AE6" s="142"/>
      <c r="AF6" s="142"/>
      <c r="AG6" s="143"/>
      <c r="AH6" s="159"/>
      <c r="AI6" s="160"/>
      <c r="AJ6" s="160"/>
      <c r="AK6" s="160"/>
      <c r="AL6" s="160"/>
      <c r="AM6" s="161"/>
      <c r="AN6" s="180"/>
      <c r="AO6" s="511" t="s">
        <v>596</v>
      </c>
      <c r="AP6" s="512"/>
      <c r="AQ6" s="512"/>
      <c r="AR6" s="512"/>
      <c r="AS6" s="512"/>
      <c r="AT6" s="513"/>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row>
    <row r="7" spans="1:91" ht="15" customHeight="1">
      <c r="A7" s="42"/>
      <c r="B7" s="522"/>
      <c r="C7" s="522"/>
      <c r="D7" s="523"/>
      <c r="E7" s="494"/>
      <c r="F7" s="495"/>
      <c r="G7" s="495"/>
      <c r="H7" s="495"/>
      <c r="I7" s="496"/>
      <c r="J7" s="146"/>
      <c r="K7" s="147"/>
      <c r="L7" s="147"/>
      <c r="M7" s="147"/>
      <c r="N7" s="147"/>
      <c r="O7" s="149"/>
      <c r="P7" s="146"/>
      <c r="Q7" s="147"/>
      <c r="R7" s="147"/>
      <c r="S7" s="147"/>
      <c r="T7" s="147"/>
      <c r="U7" s="149"/>
      <c r="V7" s="146"/>
      <c r="W7" s="147"/>
      <c r="X7" s="147"/>
      <c r="Y7" s="147"/>
      <c r="Z7" s="147"/>
      <c r="AA7" s="149"/>
      <c r="AB7" s="146"/>
      <c r="AC7" s="147"/>
      <c r="AD7" s="147"/>
      <c r="AE7" s="147"/>
      <c r="AF7" s="147"/>
      <c r="AG7" s="149"/>
      <c r="AH7" s="153"/>
      <c r="AI7" s="154"/>
      <c r="AJ7" s="154"/>
      <c r="AK7" s="154"/>
      <c r="AL7" s="154"/>
      <c r="AM7" s="155"/>
      <c r="AN7" s="180"/>
      <c r="AO7" s="514"/>
      <c r="AP7" s="515"/>
      <c r="AQ7" s="515"/>
      <c r="AR7" s="515"/>
      <c r="AS7" s="515"/>
      <c r="AT7" s="516"/>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row>
    <row r="8" spans="1:91" ht="15" customHeight="1">
      <c r="A8" s="42"/>
      <c r="B8" s="522"/>
      <c r="C8" s="522"/>
      <c r="D8" s="523"/>
      <c r="E8" s="494"/>
      <c r="F8" s="495"/>
      <c r="G8" s="495"/>
      <c r="H8" s="495"/>
      <c r="I8" s="496"/>
      <c r="J8" s="146"/>
      <c r="K8" s="147"/>
      <c r="L8" s="147"/>
      <c r="M8" s="147"/>
      <c r="N8" s="147"/>
      <c r="O8" s="149"/>
      <c r="P8" s="146"/>
      <c r="Q8" s="147"/>
      <c r="R8" s="147"/>
      <c r="S8" s="147"/>
      <c r="T8" s="147"/>
      <c r="U8" s="149"/>
      <c r="V8" s="146"/>
      <c r="W8" s="147"/>
      <c r="X8" s="147"/>
      <c r="Y8" s="147"/>
      <c r="Z8" s="147"/>
      <c r="AA8" s="149"/>
      <c r="AB8" s="146"/>
      <c r="AC8" s="147"/>
      <c r="AD8" s="147"/>
      <c r="AE8" s="147"/>
      <c r="AF8" s="147"/>
      <c r="AG8" s="149"/>
      <c r="AH8" s="153"/>
      <c r="AI8" s="154"/>
      <c r="AJ8" s="154"/>
      <c r="AK8" s="154"/>
      <c r="AL8" s="154"/>
      <c r="AM8" s="155"/>
      <c r="AN8" s="180"/>
      <c r="AO8" s="514"/>
      <c r="AP8" s="515"/>
      <c r="AQ8" s="515"/>
      <c r="AR8" s="515"/>
      <c r="AS8" s="515"/>
      <c r="AT8" s="516"/>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91" ht="15" customHeight="1">
      <c r="A9" s="42"/>
      <c r="B9" s="522"/>
      <c r="C9" s="522"/>
      <c r="D9" s="523"/>
      <c r="E9" s="494"/>
      <c r="F9" s="495"/>
      <c r="G9" s="495"/>
      <c r="H9" s="495"/>
      <c r="I9" s="496"/>
      <c r="J9" s="146"/>
      <c r="K9" s="147"/>
      <c r="L9" s="147"/>
      <c r="M9" s="147"/>
      <c r="N9" s="147"/>
      <c r="O9" s="149"/>
      <c r="P9" s="146"/>
      <c r="Q9" s="147"/>
      <c r="R9" s="147"/>
      <c r="S9" s="147"/>
      <c r="T9" s="147"/>
      <c r="U9" s="149"/>
      <c r="V9" s="146"/>
      <c r="W9" s="147"/>
      <c r="X9" s="147"/>
      <c r="Y9" s="147"/>
      <c r="Z9" s="147"/>
      <c r="AA9" s="149"/>
      <c r="AB9" s="146"/>
      <c r="AC9" s="147"/>
      <c r="AD9" s="147"/>
      <c r="AE9" s="147"/>
      <c r="AF9" s="147"/>
      <c r="AG9" s="149"/>
      <c r="AH9" s="153"/>
      <c r="AI9" s="154"/>
      <c r="AJ9" s="154"/>
      <c r="AK9" s="154"/>
      <c r="AL9" s="154"/>
      <c r="AM9" s="155"/>
      <c r="AN9" s="180"/>
      <c r="AO9" s="514"/>
      <c r="AP9" s="515"/>
      <c r="AQ9" s="515"/>
      <c r="AR9" s="515"/>
      <c r="AS9" s="515"/>
      <c r="AT9" s="516"/>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row>
    <row r="10" spans="1:91" ht="15" customHeight="1">
      <c r="A10" s="42"/>
      <c r="B10" s="522"/>
      <c r="C10" s="522"/>
      <c r="D10" s="523"/>
      <c r="E10" s="494"/>
      <c r="F10" s="495"/>
      <c r="G10" s="495"/>
      <c r="H10" s="495"/>
      <c r="I10" s="496"/>
      <c r="J10" s="146"/>
      <c r="K10" s="147"/>
      <c r="L10" s="147"/>
      <c r="M10" s="147"/>
      <c r="N10" s="147"/>
      <c r="O10" s="149"/>
      <c r="P10" s="146"/>
      <c r="Q10" s="147"/>
      <c r="R10" s="147"/>
      <c r="S10" s="147"/>
      <c r="T10" s="147"/>
      <c r="U10" s="149"/>
      <c r="V10" s="146"/>
      <c r="W10" s="147"/>
      <c r="X10" s="147"/>
      <c r="Y10" s="147"/>
      <c r="Z10" s="147"/>
      <c r="AA10" s="149"/>
      <c r="AB10" s="146"/>
      <c r="AC10" s="147"/>
      <c r="AD10" s="147"/>
      <c r="AE10" s="147"/>
      <c r="AF10" s="147"/>
      <c r="AG10" s="149"/>
      <c r="AH10" s="153"/>
      <c r="AI10" s="154"/>
      <c r="AJ10" s="154"/>
      <c r="AK10" s="154"/>
      <c r="AL10" s="154"/>
      <c r="AM10" s="155"/>
      <c r="AN10" s="180"/>
      <c r="AO10" s="514"/>
      <c r="AP10" s="515"/>
      <c r="AQ10" s="515"/>
      <c r="AR10" s="515"/>
      <c r="AS10" s="515"/>
      <c r="AT10" s="516"/>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row>
    <row r="11" spans="1:91" ht="15" customHeight="1">
      <c r="A11" s="42"/>
      <c r="B11" s="522"/>
      <c r="C11" s="522"/>
      <c r="D11" s="523"/>
      <c r="E11" s="494"/>
      <c r="F11" s="495"/>
      <c r="G11" s="495"/>
      <c r="H11" s="495"/>
      <c r="I11" s="496"/>
      <c r="J11" s="146"/>
      <c r="K11" s="147"/>
      <c r="L11" s="147"/>
      <c r="M11" s="147"/>
      <c r="N11" s="147"/>
      <c r="O11" s="149"/>
      <c r="P11" s="146"/>
      <c r="Q11" s="147"/>
      <c r="R11" s="147"/>
      <c r="S11" s="147"/>
      <c r="T11" s="147"/>
      <c r="U11" s="149"/>
      <c r="V11" s="146"/>
      <c r="W11" s="147"/>
      <c r="X11" s="147"/>
      <c r="Y11" s="147"/>
      <c r="Z11" s="147"/>
      <c r="AA11" s="149"/>
      <c r="AB11" s="146"/>
      <c r="AC11" s="147"/>
      <c r="AD11" s="147"/>
      <c r="AE11" s="147"/>
      <c r="AF11" s="147"/>
      <c r="AG11" s="149"/>
      <c r="AH11" s="153"/>
      <c r="AI11" s="154"/>
      <c r="AJ11" s="154"/>
      <c r="AK11" s="154"/>
      <c r="AL11" s="154"/>
      <c r="AM11" s="155"/>
      <c r="AN11" s="180"/>
      <c r="AO11" s="514"/>
      <c r="AP11" s="515"/>
      <c r="AQ11" s="515"/>
      <c r="AR11" s="515"/>
      <c r="AS11" s="515"/>
      <c r="AT11" s="516"/>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row>
    <row r="12" spans="1:91" ht="15" customHeight="1">
      <c r="A12" s="42"/>
      <c r="B12" s="522"/>
      <c r="C12" s="522"/>
      <c r="D12" s="523"/>
      <c r="E12" s="494"/>
      <c r="F12" s="495"/>
      <c r="G12" s="495"/>
      <c r="H12" s="495"/>
      <c r="I12" s="496"/>
      <c r="J12" s="146"/>
      <c r="K12" s="147"/>
      <c r="L12" s="147"/>
      <c r="M12" s="147"/>
      <c r="N12" s="147"/>
      <c r="O12" s="149"/>
      <c r="P12" s="146"/>
      <c r="Q12" s="147"/>
      <c r="R12" s="147"/>
      <c r="S12" s="147"/>
      <c r="T12" s="147"/>
      <c r="U12" s="149"/>
      <c r="V12" s="146"/>
      <c r="W12" s="147"/>
      <c r="X12" s="147"/>
      <c r="Y12" s="147"/>
      <c r="Z12" s="147"/>
      <c r="AA12" s="149"/>
      <c r="AB12" s="146"/>
      <c r="AC12" s="147"/>
      <c r="AD12" s="147"/>
      <c r="AE12" s="147"/>
      <c r="AF12" s="147"/>
      <c r="AG12" s="149"/>
      <c r="AH12" s="153"/>
      <c r="AI12" s="154"/>
      <c r="AJ12" s="154"/>
      <c r="AK12" s="154"/>
      <c r="AL12" s="154"/>
      <c r="AM12" s="155"/>
      <c r="AN12" s="180"/>
      <c r="AO12" s="514"/>
      <c r="AP12" s="515"/>
      <c r="AQ12" s="515"/>
      <c r="AR12" s="515"/>
      <c r="AS12" s="515"/>
      <c r="AT12" s="516"/>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row>
    <row r="13" spans="1:91" ht="15" customHeight="1">
      <c r="A13" s="42"/>
      <c r="B13" s="522"/>
      <c r="C13" s="522"/>
      <c r="D13" s="523"/>
      <c r="E13" s="494"/>
      <c r="F13" s="495"/>
      <c r="G13" s="495"/>
      <c r="H13" s="495"/>
      <c r="I13" s="496"/>
      <c r="J13" s="146"/>
      <c r="K13" s="147"/>
      <c r="L13" s="147"/>
      <c r="M13" s="147"/>
      <c r="N13" s="147"/>
      <c r="O13" s="149"/>
      <c r="P13" s="146"/>
      <c r="Q13" s="147"/>
      <c r="R13" s="147"/>
      <c r="S13" s="147"/>
      <c r="T13" s="147"/>
      <c r="U13" s="149"/>
      <c r="V13" s="146"/>
      <c r="W13" s="147"/>
      <c r="X13" s="147"/>
      <c r="Y13" s="147"/>
      <c r="Z13" s="147"/>
      <c r="AA13" s="149"/>
      <c r="AB13" s="146"/>
      <c r="AC13" s="147"/>
      <c r="AD13" s="147"/>
      <c r="AE13" s="147"/>
      <c r="AF13" s="147"/>
      <c r="AG13" s="149"/>
      <c r="AH13" s="153"/>
      <c r="AI13" s="154"/>
      <c r="AJ13" s="154"/>
      <c r="AK13" s="154"/>
      <c r="AL13" s="154"/>
      <c r="AM13" s="155"/>
      <c r="AN13" s="180"/>
      <c r="AO13" s="514"/>
      <c r="AP13" s="515"/>
      <c r="AQ13" s="515"/>
      <c r="AR13" s="515"/>
      <c r="AS13" s="515"/>
      <c r="AT13" s="516"/>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row>
    <row r="14" spans="1:91" ht="15" customHeight="1">
      <c r="A14" s="42"/>
      <c r="B14" s="522"/>
      <c r="C14" s="522"/>
      <c r="D14" s="523"/>
      <c r="E14" s="494"/>
      <c r="F14" s="495"/>
      <c r="G14" s="495"/>
      <c r="H14" s="495"/>
      <c r="I14" s="496"/>
      <c r="J14" s="146"/>
      <c r="K14" s="147"/>
      <c r="L14" s="147"/>
      <c r="M14" s="147"/>
      <c r="N14" s="147"/>
      <c r="O14" s="149"/>
      <c r="P14" s="146"/>
      <c r="Q14" s="147"/>
      <c r="R14" s="147"/>
      <c r="S14" s="147"/>
      <c r="T14" s="147"/>
      <c r="U14" s="149"/>
      <c r="V14" s="146"/>
      <c r="W14" s="147"/>
      <c r="X14" s="147"/>
      <c r="Y14" s="147"/>
      <c r="Z14" s="147"/>
      <c r="AA14" s="149"/>
      <c r="AB14" s="146"/>
      <c r="AC14" s="147"/>
      <c r="AD14" s="147"/>
      <c r="AE14" s="147"/>
      <c r="AF14" s="147"/>
      <c r="AG14" s="149"/>
      <c r="AH14" s="153"/>
      <c r="AI14" s="154"/>
      <c r="AJ14" s="154"/>
      <c r="AK14" s="154"/>
      <c r="AL14" s="154"/>
      <c r="AM14" s="155"/>
      <c r="AN14" s="180"/>
      <c r="AO14" s="514"/>
      <c r="AP14" s="515"/>
      <c r="AQ14" s="515"/>
      <c r="AR14" s="515"/>
      <c r="AS14" s="515"/>
      <c r="AT14" s="516"/>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row>
    <row r="15" spans="1:91" ht="15.75" customHeight="1" thickBot="1">
      <c r="A15" s="42"/>
      <c r="B15" s="522"/>
      <c r="C15" s="522"/>
      <c r="D15" s="523"/>
      <c r="E15" s="497"/>
      <c r="F15" s="498"/>
      <c r="G15" s="498"/>
      <c r="H15" s="498"/>
      <c r="I15" s="499"/>
      <c r="J15" s="150"/>
      <c r="K15" s="151"/>
      <c r="L15" s="151"/>
      <c r="M15" s="151"/>
      <c r="N15" s="151"/>
      <c r="O15" s="152"/>
      <c r="P15" s="146"/>
      <c r="Q15" s="147"/>
      <c r="R15" s="147"/>
      <c r="S15" s="147"/>
      <c r="T15" s="147"/>
      <c r="U15" s="149"/>
      <c r="V15" s="150"/>
      <c r="W15" s="151"/>
      <c r="X15" s="151"/>
      <c r="Y15" s="151"/>
      <c r="Z15" s="151"/>
      <c r="AA15" s="152"/>
      <c r="AB15" s="146"/>
      <c r="AC15" s="147"/>
      <c r="AD15" s="147"/>
      <c r="AE15" s="147"/>
      <c r="AF15" s="147"/>
      <c r="AG15" s="149"/>
      <c r="AH15" s="156"/>
      <c r="AI15" s="157"/>
      <c r="AJ15" s="157"/>
      <c r="AK15" s="157"/>
      <c r="AL15" s="157"/>
      <c r="AM15" s="158"/>
      <c r="AN15" s="180"/>
      <c r="AO15" s="517"/>
      <c r="AP15" s="518"/>
      <c r="AQ15" s="518"/>
      <c r="AR15" s="518"/>
      <c r="AS15" s="518"/>
      <c r="AT15" s="519"/>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row>
    <row r="16" spans="1:91" ht="15" customHeight="1">
      <c r="A16" s="42"/>
      <c r="B16" s="522"/>
      <c r="C16" s="522"/>
      <c r="D16" s="523"/>
      <c r="E16" s="491" t="s">
        <v>597</v>
      </c>
      <c r="F16" s="492"/>
      <c r="G16" s="492"/>
      <c r="H16" s="492"/>
      <c r="I16" s="492"/>
      <c r="J16" s="170"/>
      <c r="K16" s="166"/>
      <c r="L16" s="166"/>
      <c r="M16" s="166"/>
      <c r="N16" s="166"/>
      <c r="O16" s="167"/>
      <c r="P16" s="170"/>
      <c r="Q16" s="166"/>
      <c r="R16" s="166"/>
      <c r="S16" s="166"/>
      <c r="T16" s="166"/>
      <c r="U16" s="167"/>
      <c r="V16" s="144"/>
      <c r="W16" s="145"/>
      <c r="X16" s="145"/>
      <c r="Y16" s="145"/>
      <c r="Z16" s="145"/>
      <c r="AA16" s="148"/>
      <c r="AB16" s="144"/>
      <c r="AC16" s="145"/>
      <c r="AD16" s="145"/>
      <c r="AE16" s="145"/>
      <c r="AF16" s="145"/>
      <c r="AG16" s="148"/>
      <c r="AH16" s="159"/>
      <c r="AI16" s="160"/>
      <c r="AJ16" s="160"/>
      <c r="AK16" s="160"/>
      <c r="AL16" s="160"/>
      <c r="AM16" s="161"/>
      <c r="AN16" s="180"/>
      <c r="AO16" s="502" t="s">
        <v>598</v>
      </c>
      <c r="AP16" s="503"/>
      <c r="AQ16" s="503"/>
      <c r="AR16" s="503"/>
      <c r="AS16" s="503"/>
      <c r="AT16" s="504"/>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row>
    <row r="17" spans="1:76" ht="15" customHeight="1">
      <c r="A17" s="42"/>
      <c r="B17" s="522"/>
      <c r="C17" s="522"/>
      <c r="D17" s="523"/>
      <c r="E17" s="500"/>
      <c r="F17" s="495"/>
      <c r="G17" s="495"/>
      <c r="H17" s="495"/>
      <c r="I17" s="495"/>
      <c r="J17" s="168"/>
      <c r="K17" s="162"/>
      <c r="L17" s="162"/>
      <c r="M17" s="162"/>
      <c r="N17" s="162"/>
      <c r="O17" s="163"/>
      <c r="P17" s="168"/>
      <c r="Q17" s="162"/>
      <c r="R17" s="162"/>
      <c r="S17" s="162"/>
      <c r="T17" s="162"/>
      <c r="U17" s="163"/>
      <c r="V17" s="146"/>
      <c r="W17" s="147"/>
      <c r="X17" s="147"/>
      <c r="Y17" s="147"/>
      <c r="Z17" s="147"/>
      <c r="AA17" s="149"/>
      <c r="AB17" s="146"/>
      <c r="AC17" s="147"/>
      <c r="AD17" s="147"/>
      <c r="AE17" s="147"/>
      <c r="AF17" s="147"/>
      <c r="AG17" s="149"/>
      <c r="AH17" s="153"/>
      <c r="AI17" s="154"/>
      <c r="AJ17" s="154"/>
      <c r="AK17" s="154"/>
      <c r="AL17" s="154"/>
      <c r="AM17" s="155"/>
      <c r="AN17" s="180"/>
      <c r="AO17" s="505"/>
      <c r="AP17" s="506"/>
      <c r="AQ17" s="506"/>
      <c r="AR17" s="506"/>
      <c r="AS17" s="506"/>
      <c r="AT17" s="507"/>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row>
    <row r="18" spans="1:76" ht="15" customHeight="1">
      <c r="A18" s="42"/>
      <c r="B18" s="522"/>
      <c r="C18" s="522"/>
      <c r="D18" s="523"/>
      <c r="E18" s="494"/>
      <c r="F18" s="495"/>
      <c r="G18" s="495"/>
      <c r="H18" s="495"/>
      <c r="I18" s="495"/>
      <c r="J18" s="168"/>
      <c r="K18" s="162"/>
      <c r="L18" s="162"/>
      <c r="M18" s="162"/>
      <c r="N18" s="162"/>
      <c r="O18" s="163"/>
      <c r="P18" s="168"/>
      <c r="Q18" s="162"/>
      <c r="R18" s="162"/>
      <c r="S18" s="162"/>
      <c r="T18" s="162"/>
      <c r="U18" s="163"/>
      <c r="V18" s="146"/>
      <c r="W18" s="147"/>
      <c r="X18" s="147"/>
      <c r="Y18" s="147"/>
      <c r="Z18" s="147"/>
      <c r="AA18" s="149"/>
      <c r="AB18" s="146"/>
      <c r="AC18" s="147"/>
      <c r="AD18" s="147"/>
      <c r="AE18" s="147"/>
      <c r="AF18" s="147"/>
      <c r="AG18" s="149"/>
      <c r="AH18" s="153"/>
      <c r="AI18" s="154"/>
      <c r="AJ18" s="154"/>
      <c r="AK18" s="154"/>
      <c r="AL18" s="154"/>
      <c r="AM18" s="155"/>
      <c r="AN18" s="180"/>
      <c r="AO18" s="505"/>
      <c r="AP18" s="506"/>
      <c r="AQ18" s="506"/>
      <c r="AR18" s="506"/>
      <c r="AS18" s="506"/>
      <c r="AT18" s="507"/>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row>
    <row r="19" spans="1:76" ht="15" customHeight="1">
      <c r="A19" s="42"/>
      <c r="B19" s="522"/>
      <c r="C19" s="522"/>
      <c r="D19" s="523"/>
      <c r="E19" s="494"/>
      <c r="F19" s="495"/>
      <c r="G19" s="495"/>
      <c r="H19" s="495"/>
      <c r="I19" s="495"/>
      <c r="J19" s="168"/>
      <c r="K19" s="162"/>
      <c r="L19" s="162"/>
      <c r="M19" s="162"/>
      <c r="N19" s="162"/>
      <c r="O19" s="163"/>
      <c r="P19" s="168"/>
      <c r="Q19" s="162"/>
      <c r="R19" s="162"/>
      <c r="S19" s="162"/>
      <c r="T19" s="162"/>
      <c r="U19" s="163"/>
      <c r="V19" s="146"/>
      <c r="W19" s="147"/>
      <c r="X19" s="147"/>
      <c r="Y19" s="147"/>
      <c r="Z19" s="147"/>
      <c r="AA19" s="149"/>
      <c r="AB19" s="146"/>
      <c r="AC19" s="147"/>
      <c r="AD19" s="147"/>
      <c r="AE19" s="147"/>
      <c r="AF19" s="147"/>
      <c r="AG19" s="149"/>
      <c r="AH19" s="153"/>
      <c r="AI19" s="154"/>
      <c r="AJ19" s="154"/>
      <c r="AK19" s="154"/>
      <c r="AL19" s="154"/>
      <c r="AM19" s="155"/>
      <c r="AN19" s="180"/>
      <c r="AO19" s="505"/>
      <c r="AP19" s="506"/>
      <c r="AQ19" s="506"/>
      <c r="AR19" s="506"/>
      <c r="AS19" s="506"/>
      <c r="AT19" s="507"/>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row>
    <row r="20" spans="1:76" ht="15" customHeight="1">
      <c r="A20" s="42"/>
      <c r="B20" s="522"/>
      <c r="C20" s="522"/>
      <c r="D20" s="523"/>
      <c r="E20" s="494"/>
      <c r="F20" s="495"/>
      <c r="G20" s="495"/>
      <c r="H20" s="495"/>
      <c r="I20" s="495"/>
      <c r="J20" s="168"/>
      <c r="K20" s="162"/>
      <c r="L20" s="162"/>
      <c r="M20" s="162"/>
      <c r="N20" s="162"/>
      <c r="O20" s="163"/>
      <c r="P20" s="168"/>
      <c r="Q20" s="162"/>
      <c r="R20" s="162"/>
      <c r="S20" s="162"/>
      <c r="T20" s="162"/>
      <c r="U20" s="163"/>
      <c r="V20" s="146"/>
      <c r="W20" s="147"/>
      <c r="X20" s="147"/>
      <c r="Y20" s="147"/>
      <c r="Z20" s="147"/>
      <c r="AA20" s="149"/>
      <c r="AB20" s="146"/>
      <c r="AC20" s="147"/>
      <c r="AD20" s="147"/>
      <c r="AE20" s="147"/>
      <c r="AF20" s="147"/>
      <c r="AG20" s="149"/>
      <c r="AH20" s="153"/>
      <c r="AI20" s="154"/>
      <c r="AJ20" s="154"/>
      <c r="AK20" s="154"/>
      <c r="AL20" s="154"/>
      <c r="AM20" s="155"/>
      <c r="AN20" s="180"/>
      <c r="AO20" s="505"/>
      <c r="AP20" s="506"/>
      <c r="AQ20" s="506"/>
      <c r="AR20" s="506"/>
      <c r="AS20" s="506"/>
      <c r="AT20" s="507"/>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row>
    <row r="21" spans="1:76" ht="15" customHeight="1">
      <c r="A21" s="42"/>
      <c r="B21" s="522"/>
      <c r="C21" s="522"/>
      <c r="D21" s="523"/>
      <c r="E21" s="494"/>
      <c r="F21" s="495"/>
      <c r="G21" s="495"/>
      <c r="H21" s="495"/>
      <c r="I21" s="495"/>
      <c r="J21" s="168"/>
      <c r="K21" s="162"/>
      <c r="L21" s="162"/>
      <c r="M21" s="162"/>
      <c r="N21" s="162"/>
      <c r="O21" s="163"/>
      <c r="P21" s="168"/>
      <c r="Q21" s="162"/>
      <c r="R21" s="162"/>
      <c r="S21" s="162"/>
      <c r="T21" s="162"/>
      <c r="U21" s="163"/>
      <c r="V21" s="146"/>
      <c r="W21" s="147"/>
      <c r="X21" s="147"/>
      <c r="Y21" s="147"/>
      <c r="Z21" s="147"/>
      <c r="AA21" s="149"/>
      <c r="AB21" s="146"/>
      <c r="AC21" s="147"/>
      <c r="AD21" s="147"/>
      <c r="AE21" s="147"/>
      <c r="AF21" s="147"/>
      <c r="AG21" s="149"/>
      <c r="AH21" s="153"/>
      <c r="AI21" s="154"/>
      <c r="AJ21" s="154"/>
      <c r="AK21" s="154"/>
      <c r="AL21" s="154"/>
      <c r="AM21" s="155"/>
      <c r="AN21" s="180"/>
      <c r="AO21" s="505"/>
      <c r="AP21" s="506"/>
      <c r="AQ21" s="506"/>
      <c r="AR21" s="506"/>
      <c r="AS21" s="506"/>
      <c r="AT21" s="507"/>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row>
    <row r="22" spans="1:76" ht="15" customHeight="1">
      <c r="A22" s="42"/>
      <c r="B22" s="522"/>
      <c r="C22" s="522"/>
      <c r="D22" s="523"/>
      <c r="E22" s="494"/>
      <c r="F22" s="495"/>
      <c r="G22" s="495"/>
      <c r="H22" s="495"/>
      <c r="I22" s="495"/>
      <c r="J22" s="168"/>
      <c r="K22" s="162"/>
      <c r="L22" s="162"/>
      <c r="M22" s="162"/>
      <c r="N22" s="162"/>
      <c r="O22" s="163"/>
      <c r="P22" s="168"/>
      <c r="Q22" s="162"/>
      <c r="R22" s="162"/>
      <c r="S22" s="162"/>
      <c r="T22" s="162"/>
      <c r="U22" s="163"/>
      <c r="V22" s="146"/>
      <c r="W22" s="147"/>
      <c r="X22" s="147"/>
      <c r="Y22" s="147"/>
      <c r="Z22" s="147"/>
      <c r="AA22" s="149"/>
      <c r="AB22" s="146"/>
      <c r="AC22" s="147"/>
      <c r="AD22" s="147"/>
      <c r="AE22" s="147"/>
      <c r="AF22" s="147"/>
      <c r="AG22" s="149"/>
      <c r="AH22" s="153"/>
      <c r="AI22" s="154"/>
      <c r="AJ22" s="154"/>
      <c r="AK22" s="154"/>
      <c r="AL22" s="154"/>
      <c r="AM22" s="155"/>
      <c r="AN22" s="180"/>
      <c r="AO22" s="505"/>
      <c r="AP22" s="506"/>
      <c r="AQ22" s="506"/>
      <c r="AR22" s="506"/>
      <c r="AS22" s="506"/>
      <c r="AT22" s="507"/>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row>
    <row r="23" spans="1:76" ht="15" customHeight="1">
      <c r="A23" s="42"/>
      <c r="B23" s="522"/>
      <c r="C23" s="522"/>
      <c r="D23" s="523"/>
      <c r="E23" s="494"/>
      <c r="F23" s="495"/>
      <c r="G23" s="495"/>
      <c r="H23" s="495"/>
      <c r="I23" s="495"/>
      <c r="J23" s="168"/>
      <c r="K23" s="162"/>
      <c r="L23" s="162"/>
      <c r="M23" s="162"/>
      <c r="N23" s="162"/>
      <c r="O23" s="163"/>
      <c r="P23" s="168"/>
      <c r="Q23" s="162"/>
      <c r="R23" s="162"/>
      <c r="S23" s="162"/>
      <c r="T23" s="162"/>
      <c r="U23" s="163"/>
      <c r="V23" s="146"/>
      <c r="W23" s="147"/>
      <c r="X23" s="147"/>
      <c r="Y23" s="147"/>
      <c r="Z23" s="147"/>
      <c r="AA23" s="149"/>
      <c r="AB23" s="146"/>
      <c r="AC23" s="147"/>
      <c r="AD23" s="147"/>
      <c r="AE23" s="147"/>
      <c r="AF23" s="147"/>
      <c r="AG23" s="149"/>
      <c r="AH23" s="153"/>
      <c r="AI23" s="154"/>
      <c r="AJ23" s="154"/>
      <c r="AK23" s="154"/>
      <c r="AL23" s="154"/>
      <c r="AM23" s="155"/>
      <c r="AN23" s="180"/>
      <c r="AO23" s="505"/>
      <c r="AP23" s="506"/>
      <c r="AQ23" s="506"/>
      <c r="AR23" s="506"/>
      <c r="AS23" s="506"/>
      <c r="AT23" s="507"/>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row>
    <row r="24" spans="1:76" ht="15" customHeight="1">
      <c r="A24" s="42"/>
      <c r="B24" s="522"/>
      <c r="C24" s="522"/>
      <c r="D24" s="523"/>
      <c r="E24" s="494"/>
      <c r="F24" s="495"/>
      <c r="G24" s="495"/>
      <c r="H24" s="495"/>
      <c r="I24" s="495"/>
      <c r="J24" s="168"/>
      <c r="K24" s="162"/>
      <c r="L24" s="162"/>
      <c r="M24" s="162"/>
      <c r="N24" s="162"/>
      <c r="O24" s="163"/>
      <c r="P24" s="168"/>
      <c r="Q24" s="162"/>
      <c r="R24" s="162"/>
      <c r="S24" s="162"/>
      <c r="T24" s="162"/>
      <c r="U24" s="163"/>
      <c r="V24" s="146"/>
      <c r="W24" s="147"/>
      <c r="X24" s="147"/>
      <c r="Y24" s="147"/>
      <c r="Z24" s="147"/>
      <c r="AA24" s="149"/>
      <c r="AB24" s="146"/>
      <c r="AC24" s="147"/>
      <c r="AD24" s="147"/>
      <c r="AE24" s="147"/>
      <c r="AF24" s="147"/>
      <c r="AG24" s="149"/>
      <c r="AH24" s="153"/>
      <c r="AI24" s="154"/>
      <c r="AJ24" s="154"/>
      <c r="AK24" s="154"/>
      <c r="AL24" s="154"/>
      <c r="AM24" s="155"/>
      <c r="AN24" s="180"/>
      <c r="AO24" s="505"/>
      <c r="AP24" s="506"/>
      <c r="AQ24" s="506"/>
      <c r="AR24" s="506"/>
      <c r="AS24" s="506"/>
      <c r="AT24" s="507"/>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row>
    <row r="25" spans="1:76" ht="15.75" customHeight="1" thickBot="1">
      <c r="A25" s="42"/>
      <c r="B25" s="522"/>
      <c r="C25" s="522"/>
      <c r="D25" s="523"/>
      <c r="E25" s="497"/>
      <c r="F25" s="498"/>
      <c r="G25" s="498"/>
      <c r="H25" s="498"/>
      <c r="I25" s="498"/>
      <c r="J25" s="169"/>
      <c r="K25" s="164"/>
      <c r="L25" s="164"/>
      <c r="M25" s="164"/>
      <c r="N25" s="164"/>
      <c r="O25" s="165"/>
      <c r="P25" s="169"/>
      <c r="Q25" s="164"/>
      <c r="R25" s="164"/>
      <c r="S25" s="164"/>
      <c r="T25" s="164"/>
      <c r="U25" s="165"/>
      <c r="V25" s="150"/>
      <c r="W25" s="151"/>
      <c r="X25" s="151"/>
      <c r="Y25" s="151"/>
      <c r="Z25" s="151"/>
      <c r="AA25" s="152"/>
      <c r="AB25" s="150"/>
      <c r="AC25" s="151"/>
      <c r="AD25" s="151"/>
      <c r="AE25" s="151"/>
      <c r="AF25" s="151"/>
      <c r="AG25" s="152"/>
      <c r="AH25" s="156"/>
      <c r="AI25" s="157"/>
      <c r="AJ25" s="157"/>
      <c r="AK25" s="157"/>
      <c r="AL25" s="157"/>
      <c r="AM25" s="158"/>
      <c r="AN25" s="180"/>
      <c r="AO25" s="508"/>
      <c r="AP25" s="509"/>
      <c r="AQ25" s="509"/>
      <c r="AR25" s="509"/>
      <c r="AS25" s="509"/>
      <c r="AT25" s="510"/>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row>
    <row r="26" spans="1:76" ht="42.75" customHeight="1">
      <c r="A26" s="42"/>
      <c r="B26" s="522"/>
      <c r="C26" s="522"/>
      <c r="D26" s="523"/>
      <c r="E26" s="491" t="s">
        <v>599</v>
      </c>
      <c r="F26" s="492"/>
      <c r="G26" s="492"/>
      <c r="H26" s="492"/>
      <c r="I26" s="493"/>
      <c r="J26" s="170" t="str">
        <f>IF(AND('Mapa final'!$AF$15="Media",'Mapa final'!$AH$15="Leve"),CONCATENATE("R1C",'Mapa final'!$V$15),"")</f>
        <v/>
      </c>
      <c r="K26" s="166"/>
      <c r="L26" s="166"/>
      <c r="M26" s="166"/>
      <c r="N26" s="166"/>
      <c r="O26" s="167"/>
      <c r="P26" s="170"/>
      <c r="Q26" s="166"/>
      <c r="R26" s="166"/>
      <c r="S26" s="166"/>
      <c r="T26" s="166"/>
      <c r="U26" s="167"/>
      <c r="V26" s="170"/>
      <c r="W26" s="166"/>
      <c r="X26" s="166"/>
      <c r="Y26" s="166"/>
      <c r="Z26" s="166"/>
      <c r="AA26" s="167"/>
      <c r="AB26" s="144"/>
      <c r="AC26" s="145"/>
      <c r="AD26" s="145"/>
      <c r="AE26" s="145"/>
      <c r="AF26" s="145"/>
      <c r="AG26" s="148"/>
      <c r="AH26" s="159"/>
      <c r="AI26" s="160"/>
      <c r="AJ26" s="160"/>
      <c r="AK26" s="160"/>
      <c r="AL26" s="160"/>
      <c r="AM26" s="161"/>
      <c r="AN26" s="180"/>
      <c r="AO26" s="533" t="s">
        <v>252</v>
      </c>
      <c r="AP26" s="534"/>
      <c r="AQ26" s="534"/>
      <c r="AR26" s="534"/>
      <c r="AS26" s="534"/>
      <c r="AT26" s="535"/>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row>
    <row r="27" spans="1:76" ht="24.75" customHeight="1">
      <c r="A27" s="42"/>
      <c r="B27" s="522"/>
      <c r="C27" s="522"/>
      <c r="D27" s="523"/>
      <c r="E27" s="500"/>
      <c r="F27" s="495"/>
      <c r="G27" s="495"/>
      <c r="H27" s="495"/>
      <c r="I27" s="496"/>
      <c r="J27" s="168"/>
      <c r="K27" s="162"/>
      <c r="L27" s="162"/>
      <c r="M27" s="162"/>
      <c r="N27" s="162"/>
      <c r="O27" s="163"/>
      <c r="P27" s="168"/>
      <c r="Q27" s="162"/>
      <c r="R27" s="162"/>
      <c r="S27" s="162"/>
      <c r="T27" s="162"/>
      <c r="U27" s="163"/>
      <c r="V27" s="168"/>
      <c r="W27" s="162"/>
      <c r="X27" s="162"/>
      <c r="Y27" s="162"/>
      <c r="Z27" s="162"/>
      <c r="AA27" s="163"/>
      <c r="AB27" s="146"/>
      <c r="AC27" s="147"/>
      <c r="AD27" s="147"/>
      <c r="AE27" s="147"/>
      <c r="AF27" s="147"/>
      <c r="AG27" s="149"/>
      <c r="AH27" s="153"/>
      <c r="AI27" s="154"/>
      <c r="AJ27" s="154"/>
      <c r="AK27" s="154"/>
      <c r="AL27" s="154"/>
      <c r="AM27" s="155"/>
      <c r="AN27" s="180"/>
      <c r="AO27" s="536"/>
      <c r="AP27" s="537"/>
      <c r="AQ27" s="537"/>
      <c r="AR27" s="537"/>
      <c r="AS27" s="537"/>
      <c r="AT27" s="538"/>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row>
    <row r="28" spans="1:76" ht="40.5" customHeight="1">
      <c r="A28" s="42"/>
      <c r="B28" s="522"/>
      <c r="C28" s="522"/>
      <c r="D28" s="523"/>
      <c r="E28" s="494"/>
      <c r="F28" s="495"/>
      <c r="G28" s="495"/>
      <c r="H28" s="495"/>
      <c r="I28" s="496"/>
      <c r="J28" s="168"/>
      <c r="K28" s="162" t="str">
        <f>IF(AND('Mapa final'!$AF$23="Media",'Mapa final'!$AH$23="Leve"),CONCATENATE("R1C",'Mapa final'!$A$23),"")</f>
        <v/>
      </c>
      <c r="L28" s="162"/>
      <c r="M28" s="162"/>
      <c r="N28" s="162"/>
      <c r="O28" s="163"/>
      <c r="P28" s="168"/>
      <c r="Q28" s="162"/>
      <c r="R28" s="162"/>
      <c r="S28" s="162"/>
      <c r="T28" s="162"/>
      <c r="U28" s="163"/>
      <c r="V28" s="168"/>
      <c r="W28" s="162"/>
      <c r="X28" s="162"/>
      <c r="Y28" s="162"/>
      <c r="Z28" s="162"/>
      <c r="AA28" s="163"/>
      <c r="AB28" s="146"/>
      <c r="AC28" s="147"/>
      <c r="AD28" s="147"/>
      <c r="AE28" s="147"/>
      <c r="AF28" s="147"/>
      <c r="AG28" s="149"/>
      <c r="AH28" s="153"/>
      <c r="AI28" s="154"/>
      <c r="AJ28" s="154"/>
      <c r="AK28" s="154"/>
      <c r="AL28" s="154"/>
      <c r="AM28" s="155"/>
      <c r="AN28" s="180"/>
      <c r="AO28" s="536"/>
      <c r="AP28" s="537"/>
      <c r="AQ28" s="537"/>
      <c r="AR28" s="537"/>
      <c r="AS28" s="537"/>
      <c r="AT28" s="538"/>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row>
    <row r="29" spans="1:76" ht="15" customHeight="1">
      <c r="A29" s="42"/>
      <c r="B29" s="522"/>
      <c r="C29" s="522"/>
      <c r="D29" s="523"/>
      <c r="E29" s="494"/>
      <c r="F29" s="495"/>
      <c r="G29" s="495"/>
      <c r="H29" s="495"/>
      <c r="I29" s="496"/>
      <c r="J29" s="168"/>
      <c r="K29" s="162"/>
      <c r="L29" s="162"/>
      <c r="M29" s="162"/>
      <c r="N29" s="162"/>
      <c r="O29" s="163"/>
      <c r="P29" s="168"/>
      <c r="Q29" s="162"/>
      <c r="R29" s="162"/>
      <c r="S29" s="162"/>
      <c r="T29" s="162"/>
      <c r="U29" s="163"/>
      <c r="V29" s="168"/>
      <c r="W29" s="162"/>
      <c r="X29" s="162"/>
      <c r="Y29" s="162"/>
      <c r="Z29" s="162"/>
      <c r="AA29" s="163"/>
      <c r="AB29" s="146"/>
      <c r="AC29" s="147"/>
      <c r="AD29" s="147"/>
      <c r="AE29" s="147"/>
      <c r="AF29" s="147"/>
      <c r="AG29" s="149"/>
      <c r="AH29" s="153"/>
      <c r="AI29" s="154"/>
      <c r="AJ29" s="154"/>
      <c r="AK29" s="154"/>
      <c r="AL29" s="154"/>
      <c r="AM29" s="155"/>
      <c r="AN29" s="180"/>
      <c r="AO29" s="536"/>
      <c r="AP29" s="537"/>
      <c r="AQ29" s="537"/>
      <c r="AR29" s="537"/>
      <c r="AS29" s="537"/>
      <c r="AT29" s="538"/>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row>
    <row r="30" spans="1:76" ht="15" customHeight="1">
      <c r="A30" s="42"/>
      <c r="B30" s="522"/>
      <c r="C30" s="522"/>
      <c r="D30" s="523"/>
      <c r="E30" s="494"/>
      <c r="F30" s="495"/>
      <c r="G30" s="495"/>
      <c r="H30" s="495"/>
      <c r="I30" s="496"/>
      <c r="J30" s="168"/>
      <c r="K30" s="162"/>
      <c r="L30" s="162"/>
      <c r="M30" s="162"/>
      <c r="N30" s="162"/>
      <c r="O30" s="163"/>
      <c r="P30" s="168"/>
      <c r="Q30" s="162"/>
      <c r="R30" s="162"/>
      <c r="S30" s="162"/>
      <c r="T30" s="162"/>
      <c r="U30" s="163"/>
      <c r="V30" s="168"/>
      <c r="W30" s="162"/>
      <c r="X30" s="162"/>
      <c r="Y30" s="162"/>
      <c r="Z30" s="162"/>
      <c r="AA30" s="163"/>
      <c r="AB30" s="146"/>
      <c r="AC30" s="147"/>
      <c r="AD30" s="147"/>
      <c r="AE30" s="147"/>
      <c r="AF30" s="147"/>
      <c r="AG30" s="149"/>
      <c r="AH30" s="153"/>
      <c r="AI30" s="154"/>
      <c r="AJ30" s="154"/>
      <c r="AK30" s="154"/>
      <c r="AL30" s="154"/>
      <c r="AM30" s="155"/>
      <c r="AN30" s="180"/>
      <c r="AO30" s="536"/>
      <c r="AP30" s="537"/>
      <c r="AQ30" s="537"/>
      <c r="AR30" s="537"/>
      <c r="AS30" s="537"/>
      <c r="AT30" s="538"/>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row>
    <row r="31" spans="1:76" ht="15" customHeight="1">
      <c r="A31" s="42"/>
      <c r="B31" s="522"/>
      <c r="C31" s="522"/>
      <c r="D31" s="523"/>
      <c r="E31" s="494"/>
      <c r="F31" s="495"/>
      <c r="G31" s="495"/>
      <c r="H31" s="495"/>
      <c r="I31" s="496"/>
      <c r="J31" s="168"/>
      <c r="K31" s="162"/>
      <c r="L31" s="162"/>
      <c r="M31" s="162"/>
      <c r="N31" s="162"/>
      <c r="O31" s="163"/>
      <c r="P31" s="168"/>
      <c r="Q31" s="162"/>
      <c r="R31" s="162"/>
      <c r="S31" s="162"/>
      <c r="T31" s="162"/>
      <c r="U31" s="163"/>
      <c r="V31" s="168"/>
      <c r="W31" s="162"/>
      <c r="X31" s="162"/>
      <c r="Y31" s="162"/>
      <c r="Z31" s="162"/>
      <c r="AA31" s="163"/>
      <c r="AB31" s="146"/>
      <c r="AC31" s="147"/>
      <c r="AD31" s="147"/>
      <c r="AE31" s="147"/>
      <c r="AF31" s="147"/>
      <c r="AG31" s="149"/>
      <c r="AH31" s="153"/>
      <c r="AI31" s="154"/>
      <c r="AJ31" s="154"/>
      <c r="AK31" s="154"/>
      <c r="AL31" s="154"/>
      <c r="AM31" s="155"/>
      <c r="AN31" s="180"/>
      <c r="AO31" s="536"/>
      <c r="AP31" s="537"/>
      <c r="AQ31" s="537"/>
      <c r="AR31" s="537"/>
      <c r="AS31" s="537"/>
      <c r="AT31" s="538"/>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row>
    <row r="32" spans="1:76" ht="36" customHeight="1">
      <c r="A32" s="42"/>
      <c r="B32" s="522"/>
      <c r="C32" s="522"/>
      <c r="D32" s="523"/>
      <c r="E32" s="494"/>
      <c r="F32" s="495"/>
      <c r="G32" s="495"/>
      <c r="H32" s="495"/>
      <c r="I32" s="496"/>
      <c r="J32" s="168"/>
      <c r="K32" s="162"/>
      <c r="L32" s="162"/>
      <c r="M32" s="162"/>
      <c r="N32" s="162"/>
      <c r="O32" s="163"/>
      <c r="P32" s="168"/>
      <c r="Q32" s="162"/>
      <c r="R32" s="162"/>
      <c r="S32" s="162"/>
      <c r="T32" s="162"/>
      <c r="U32" s="163"/>
      <c r="V32" s="168"/>
      <c r="W32" s="162"/>
      <c r="X32" s="162"/>
      <c r="Y32" s="162"/>
      <c r="Z32" s="162"/>
      <c r="AA32" s="163"/>
      <c r="AB32" s="146"/>
      <c r="AC32" s="147"/>
      <c r="AD32" s="147"/>
      <c r="AE32" s="147"/>
      <c r="AF32" s="147"/>
      <c r="AG32" s="149"/>
      <c r="AH32" s="153"/>
      <c r="AI32" s="154"/>
      <c r="AJ32" s="154"/>
      <c r="AK32" s="154"/>
      <c r="AL32" s="154"/>
      <c r="AM32" s="155"/>
      <c r="AN32" s="180"/>
      <c r="AO32" s="536"/>
      <c r="AP32" s="537"/>
      <c r="AQ32" s="537"/>
      <c r="AR32" s="537"/>
      <c r="AS32" s="537"/>
      <c r="AT32" s="538"/>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row>
    <row r="33" spans="1:80" ht="15" customHeight="1">
      <c r="A33" s="42"/>
      <c r="B33" s="522"/>
      <c r="C33" s="522"/>
      <c r="D33" s="523"/>
      <c r="E33" s="494"/>
      <c r="F33" s="495"/>
      <c r="G33" s="495"/>
      <c r="H33" s="495"/>
      <c r="I33" s="496"/>
      <c r="J33" s="168"/>
      <c r="K33" s="162"/>
      <c r="L33" s="162"/>
      <c r="M33" s="162"/>
      <c r="N33" s="162"/>
      <c r="O33" s="163"/>
      <c r="P33" s="168"/>
      <c r="Q33" s="162"/>
      <c r="R33" s="162"/>
      <c r="S33" s="162"/>
      <c r="T33" s="162"/>
      <c r="U33" s="163"/>
      <c r="V33" s="168"/>
      <c r="W33" s="162"/>
      <c r="X33" s="162"/>
      <c r="Y33" s="162"/>
      <c r="Z33" s="162"/>
      <c r="AA33" s="163"/>
      <c r="AB33" s="146"/>
      <c r="AC33" s="147"/>
      <c r="AD33" s="147"/>
      <c r="AE33" s="147"/>
      <c r="AF33" s="147"/>
      <c r="AG33" s="149"/>
      <c r="AH33" s="153"/>
      <c r="AI33" s="154"/>
      <c r="AJ33" s="154"/>
      <c r="AK33" s="154"/>
      <c r="AL33" s="154"/>
      <c r="AM33" s="155"/>
      <c r="AN33" s="180"/>
      <c r="AO33" s="536"/>
      <c r="AP33" s="537"/>
      <c r="AQ33" s="537"/>
      <c r="AR33" s="537"/>
      <c r="AS33" s="537"/>
      <c r="AT33" s="538"/>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row>
    <row r="34" spans="1:80" ht="15" customHeight="1">
      <c r="A34" s="42"/>
      <c r="B34" s="522"/>
      <c r="C34" s="522"/>
      <c r="D34" s="523"/>
      <c r="E34" s="494"/>
      <c r="F34" s="495"/>
      <c r="G34" s="495"/>
      <c r="H34" s="495"/>
      <c r="I34" s="496"/>
      <c r="J34" s="168" t="str">
        <f>IF(AND('Mapa final'!$AF$27="Media",'Mapa final'!$AH$27="Leve"),CONCATENATE("R9C",'Mapa final'!$V$27),"")</f>
        <v/>
      </c>
      <c r="K34" s="162"/>
      <c r="L34" s="162"/>
      <c r="M34" s="162"/>
      <c r="N34" s="162"/>
      <c r="O34" s="163"/>
      <c r="P34" s="168"/>
      <c r="Q34" s="162"/>
      <c r="R34" s="162"/>
      <c r="S34" s="162"/>
      <c r="T34" s="162"/>
      <c r="U34" s="163"/>
      <c r="V34" s="168"/>
      <c r="W34" s="162"/>
      <c r="X34" s="162"/>
      <c r="Y34" s="162"/>
      <c r="Z34" s="162"/>
      <c r="AA34" s="163"/>
      <c r="AB34" s="146"/>
      <c r="AC34" s="147"/>
      <c r="AD34" s="147"/>
      <c r="AE34" s="147"/>
      <c r="AF34" s="147"/>
      <c r="AG34" s="149"/>
      <c r="AH34" s="153"/>
      <c r="AI34" s="154"/>
      <c r="AJ34" s="154"/>
      <c r="AK34" s="154"/>
      <c r="AL34" s="154"/>
      <c r="AM34" s="155"/>
      <c r="AN34" s="180"/>
      <c r="AO34" s="536"/>
      <c r="AP34" s="537"/>
      <c r="AQ34" s="537"/>
      <c r="AR34" s="537"/>
      <c r="AS34" s="537"/>
      <c r="AT34" s="538"/>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row>
    <row r="35" spans="1:80" ht="15.75" customHeight="1" thickBot="1">
      <c r="A35" s="42"/>
      <c r="B35" s="522"/>
      <c r="C35" s="522"/>
      <c r="D35" s="523"/>
      <c r="E35" s="497"/>
      <c r="F35" s="498"/>
      <c r="G35" s="498"/>
      <c r="H35" s="498"/>
      <c r="I35" s="499"/>
      <c r="J35" s="168" t="str">
        <f>IF(AND('Mapa final'!$AF$29="Media",'Mapa final'!$AH$29="Leve"),CONCATENATE("R10C",'Mapa final'!$V$29),"")</f>
        <v/>
      </c>
      <c r="K35" s="162"/>
      <c r="L35" s="162"/>
      <c r="M35" s="162"/>
      <c r="N35" s="162"/>
      <c r="O35" s="163"/>
      <c r="P35" s="168"/>
      <c r="Q35" s="162"/>
      <c r="R35" s="162"/>
      <c r="S35" s="162"/>
      <c r="T35" s="162"/>
      <c r="U35" s="163"/>
      <c r="V35" s="168"/>
      <c r="W35" s="162"/>
      <c r="X35" s="162"/>
      <c r="Y35" s="162"/>
      <c r="Z35" s="162"/>
      <c r="AA35" s="163"/>
      <c r="AB35" s="150"/>
      <c r="AC35" s="151"/>
      <c r="AD35" s="151"/>
      <c r="AE35" s="151"/>
      <c r="AF35" s="151"/>
      <c r="AG35" s="152"/>
      <c r="AH35" s="156"/>
      <c r="AI35" s="157"/>
      <c r="AJ35" s="157"/>
      <c r="AK35" s="157"/>
      <c r="AL35" s="157"/>
      <c r="AM35" s="158"/>
      <c r="AN35" s="180"/>
      <c r="AO35" s="539"/>
      <c r="AP35" s="540"/>
      <c r="AQ35" s="540"/>
      <c r="AR35" s="540"/>
      <c r="AS35" s="540"/>
      <c r="AT35" s="541"/>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row>
    <row r="36" spans="1:80" ht="39.75" customHeight="1">
      <c r="A36" s="42"/>
      <c r="B36" s="522"/>
      <c r="C36" s="522"/>
      <c r="D36" s="523"/>
      <c r="E36" s="491" t="s">
        <v>600</v>
      </c>
      <c r="F36" s="492"/>
      <c r="G36" s="492"/>
      <c r="H36" s="492"/>
      <c r="I36" s="492"/>
      <c r="J36" s="179"/>
      <c r="K36" s="175"/>
      <c r="L36" s="175"/>
      <c r="M36" s="175"/>
      <c r="N36" s="175"/>
      <c r="O36" s="176"/>
      <c r="P36" s="170"/>
      <c r="Q36" s="166"/>
      <c r="R36" s="166"/>
      <c r="S36" s="166"/>
      <c r="T36" s="166"/>
      <c r="U36" s="166"/>
      <c r="V36" s="170"/>
      <c r="W36" s="166"/>
      <c r="X36" s="166"/>
      <c r="Y36" s="166"/>
      <c r="Z36" s="166" t="str">
        <f>IF(AND('Mapa final'!$AF$63="Media",'Mapa final'!$AH$63="Moderado"),CONCATENATE("R1C",'Mapa final'!$A$63),"")</f>
        <v>R1CG30</v>
      </c>
      <c r="AA36" s="167"/>
      <c r="AB36" s="144"/>
      <c r="AC36" s="145"/>
      <c r="AD36" s="145"/>
      <c r="AE36" s="145"/>
      <c r="AF36" s="145"/>
      <c r="AG36" s="148"/>
      <c r="AH36" s="159"/>
      <c r="AI36" s="160"/>
      <c r="AJ36" s="160"/>
      <c r="AK36" s="160"/>
      <c r="AL36" s="160"/>
      <c r="AM36" s="161"/>
      <c r="AN36" s="180"/>
      <c r="AO36" s="524" t="s">
        <v>601</v>
      </c>
      <c r="AP36" s="525"/>
      <c r="AQ36" s="525"/>
      <c r="AR36" s="525"/>
      <c r="AS36" s="525"/>
      <c r="AT36" s="526"/>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row>
    <row r="37" spans="1:80" ht="28.5" customHeight="1">
      <c r="A37" s="42"/>
      <c r="B37" s="522"/>
      <c r="C37" s="522"/>
      <c r="D37" s="523"/>
      <c r="E37" s="500"/>
      <c r="F37" s="495"/>
      <c r="G37" s="495"/>
      <c r="H37" s="495"/>
      <c r="I37" s="495"/>
      <c r="J37" s="177"/>
      <c r="K37" s="171"/>
      <c r="L37" s="171"/>
      <c r="M37" s="171"/>
      <c r="N37" s="171"/>
      <c r="O37" s="172"/>
      <c r="P37" s="168"/>
      <c r="Q37" s="162"/>
      <c r="R37" s="162"/>
      <c r="S37" s="162"/>
      <c r="T37" s="162"/>
      <c r="U37" s="162"/>
      <c r="V37" s="168"/>
      <c r="W37" s="162"/>
      <c r="X37" s="162"/>
      <c r="Y37" s="162"/>
      <c r="Z37" s="162"/>
      <c r="AA37" s="163" t="str">
        <f>IF(AND('Mapa final'!$AF$46="Media",'Mapa final'!$AH$46="Moderado"),CONCATENATE("R1C",'Mapa final'!$A$46),"")</f>
        <v>R1CG19</v>
      </c>
      <c r="AB37" s="146"/>
      <c r="AC37" s="147"/>
      <c r="AD37" s="147"/>
      <c r="AE37" s="147"/>
      <c r="AF37" s="147"/>
      <c r="AG37" s="149"/>
      <c r="AH37" s="153"/>
      <c r="AI37" s="154"/>
      <c r="AJ37" s="154"/>
      <c r="AK37" s="154"/>
      <c r="AL37" s="154"/>
      <c r="AM37" s="155"/>
      <c r="AN37" s="180"/>
      <c r="AO37" s="527"/>
      <c r="AP37" s="528"/>
      <c r="AQ37" s="528"/>
      <c r="AR37" s="528"/>
      <c r="AS37" s="528"/>
      <c r="AT37" s="529"/>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row>
    <row r="38" spans="1:80" ht="24" customHeight="1">
      <c r="A38" s="42"/>
      <c r="B38" s="522"/>
      <c r="C38" s="522"/>
      <c r="D38" s="523"/>
      <c r="E38" s="494"/>
      <c r="F38" s="495"/>
      <c r="G38" s="495"/>
      <c r="H38" s="495"/>
      <c r="I38" s="495"/>
      <c r="J38" s="177"/>
      <c r="K38" s="171"/>
      <c r="L38" s="171"/>
      <c r="M38" s="171"/>
      <c r="N38" s="171"/>
      <c r="O38" s="172"/>
      <c r="P38" s="168"/>
      <c r="Q38" s="162"/>
      <c r="R38" s="162"/>
      <c r="S38" s="162"/>
      <c r="T38" s="162"/>
      <c r="U38" s="162"/>
      <c r="V38" s="168"/>
      <c r="W38" s="162"/>
      <c r="X38" s="162"/>
      <c r="Y38" s="162"/>
      <c r="Z38" s="162"/>
      <c r="AA38" s="163"/>
      <c r="AB38" s="146"/>
      <c r="AC38" s="147"/>
      <c r="AD38" s="181"/>
      <c r="AE38" s="147"/>
      <c r="AF38" s="147"/>
      <c r="AG38" s="149"/>
      <c r="AH38" s="153"/>
      <c r="AI38" s="154"/>
      <c r="AJ38" s="154"/>
      <c r="AK38" s="154"/>
      <c r="AL38" s="154"/>
      <c r="AM38" s="155"/>
      <c r="AN38" s="180"/>
      <c r="AO38" s="527"/>
      <c r="AP38" s="528"/>
      <c r="AQ38" s="528"/>
      <c r="AR38" s="528"/>
      <c r="AS38" s="528"/>
      <c r="AT38" s="529"/>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row>
    <row r="39" spans="1:80" ht="32.25" customHeight="1">
      <c r="A39" s="42"/>
      <c r="B39" s="522"/>
      <c r="C39" s="522"/>
      <c r="D39" s="523"/>
      <c r="E39" s="494"/>
      <c r="F39" s="495"/>
      <c r="G39" s="495"/>
      <c r="H39" s="495"/>
      <c r="I39" s="495"/>
      <c r="J39" s="177"/>
      <c r="K39" s="171"/>
      <c r="L39" s="171"/>
      <c r="M39" s="171"/>
      <c r="N39" s="171"/>
      <c r="O39" s="172"/>
      <c r="P39" s="168"/>
      <c r="Q39" s="162"/>
      <c r="R39" s="162"/>
      <c r="S39" s="162"/>
      <c r="T39" s="162"/>
      <c r="U39" s="162"/>
      <c r="V39" s="168" t="str">
        <f>IF(AND('Mapa final'!$AF$17="Baja",'Mapa final'!$AH$17="Moderado"),CONCATENATE("R4C",'Mapa final'!$V$17),"")</f>
        <v/>
      </c>
      <c r="W39" s="162"/>
      <c r="X39" s="162"/>
      <c r="Y39" s="162"/>
      <c r="Z39" s="162"/>
      <c r="AA39" s="163"/>
      <c r="AB39" s="146"/>
      <c r="AC39" s="147"/>
      <c r="AD39" s="147"/>
      <c r="AE39" s="147"/>
      <c r="AF39" s="147"/>
      <c r="AG39" s="149"/>
      <c r="AH39" s="153"/>
      <c r="AI39" s="154"/>
      <c r="AJ39" s="154"/>
      <c r="AK39" s="154"/>
      <c r="AL39" s="154"/>
      <c r="AM39" s="155"/>
      <c r="AN39" s="180"/>
      <c r="AO39" s="527"/>
      <c r="AP39" s="528"/>
      <c r="AQ39" s="528"/>
      <c r="AR39" s="528"/>
      <c r="AS39" s="528"/>
      <c r="AT39" s="529"/>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row>
    <row r="40" spans="1:80" ht="34.5" customHeight="1">
      <c r="A40" s="42"/>
      <c r="B40" s="522"/>
      <c r="C40" s="522"/>
      <c r="D40" s="523"/>
      <c r="E40" s="494"/>
      <c r="F40" s="495"/>
      <c r="G40" s="495"/>
      <c r="H40" s="495"/>
      <c r="I40" s="495"/>
      <c r="J40" s="177"/>
      <c r="K40" s="171"/>
      <c r="L40" s="171"/>
      <c r="M40" s="171"/>
      <c r="N40" s="171"/>
      <c r="O40" s="172"/>
      <c r="P40" s="168"/>
      <c r="Q40" s="162"/>
      <c r="R40" s="162"/>
      <c r="S40" s="162"/>
      <c r="T40" s="162" t="str">
        <f>IF(AND('Mapa final'!$AF$49="Baja",'Mapa final'!$AH$49="Menor"),CONCATENATE("R1C",'Mapa final'!$A$49),"")</f>
        <v>R1CG21</v>
      </c>
      <c r="U40" s="162"/>
      <c r="V40" s="168"/>
      <c r="W40" s="162"/>
      <c r="X40" s="162"/>
      <c r="Y40" s="162"/>
      <c r="Z40" s="162"/>
      <c r="AA40" s="163"/>
      <c r="AB40" s="146"/>
      <c r="AC40" s="147"/>
      <c r="AD40" s="147"/>
      <c r="AE40" s="147"/>
      <c r="AF40" s="147"/>
      <c r="AG40" s="149"/>
      <c r="AH40" s="153"/>
      <c r="AI40" s="154"/>
      <c r="AJ40" s="154"/>
      <c r="AK40" s="154"/>
      <c r="AL40" s="154"/>
      <c r="AM40" s="155"/>
      <c r="AN40" s="180"/>
      <c r="AO40" s="527"/>
      <c r="AP40" s="528"/>
      <c r="AQ40" s="528"/>
      <c r="AR40" s="528"/>
      <c r="AS40" s="528"/>
      <c r="AT40" s="529"/>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row>
    <row r="41" spans="1:80" ht="37.5" customHeight="1">
      <c r="A41" s="42"/>
      <c r="B41" s="522"/>
      <c r="C41" s="522"/>
      <c r="D41" s="523"/>
      <c r="E41" s="494"/>
      <c r="F41" s="495"/>
      <c r="G41" s="495"/>
      <c r="H41" s="495"/>
      <c r="I41" s="495"/>
      <c r="J41" s="177"/>
      <c r="K41" s="171"/>
      <c r="L41" s="171"/>
      <c r="M41" s="171"/>
      <c r="N41" s="171"/>
      <c r="O41" s="172"/>
      <c r="P41" s="168"/>
      <c r="Q41" s="162"/>
      <c r="R41" s="162"/>
      <c r="S41" s="162"/>
      <c r="T41" s="162" t="str">
        <f>IF(AND('Mapa final'!$AF$50="Baja",'Mapa final'!$AH$50="Menor"),CONCATENATE("R1C",'Mapa final'!$A$50),"")</f>
        <v>R1CG22</v>
      </c>
      <c r="U41" s="162"/>
      <c r="V41" s="168"/>
      <c r="W41" s="162" t="str">
        <f>IF(AND('Mapa final'!$AF$25="Baja",'Mapa final'!$AH$25="Moderado"),CONCATENATE("R1C",'Mapa final'!$A$25),"")</f>
        <v>R1CG7</v>
      </c>
      <c r="X41" s="162"/>
      <c r="Y41" s="162"/>
      <c r="Z41" s="162"/>
      <c r="AA41" s="163"/>
      <c r="AB41" s="146"/>
      <c r="AC41" s="147"/>
      <c r="AD41" s="147"/>
      <c r="AE41" s="147"/>
      <c r="AF41" s="147"/>
      <c r="AG41" s="149"/>
      <c r="AH41" s="153"/>
      <c r="AI41" s="154"/>
      <c r="AJ41" s="154"/>
      <c r="AK41" s="154"/>
      <c r="AL41" s="154"/>
      <c r="AM41" s="155"/>
      <c r="AN41" s="180"/>
      <c r="AO41" s="527"/>
      <c r="AP41" s="528"/>
      <c r="AQ41" s="528"/>
      <c r="AR41" s="528"/>
      <c r="AS41" s="528"/>
      <c r="AT41" s="529"/>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row>
    <row r="42" spans="1:80" ht="32.25" customHeight="1">
      <c r="A42" s="42"/>
      <c r="B42" s="522"/>
      <c r="C42" s="522"/>
      <c r="D42" s="523"/>
      <c r="E42" s="494"/>
      <c r="F42" s="495"/>
      <c r="G42" s="495"/>
      <c r="H42" s="495"/>
      <c r="I42" s="495"/>
      <c r="J42" s="177"/>
      <c r="K42" s="171"/>
      <c r="L42" s="171"/>
      <c r="M42" s="171"/>
      <c r="N42" s="171"/>
      <c r="O42" s="172"/>
      <c r="P42" s="168"/>
      <c r="Q42" s="162"/>
      <c r="R42" s="162"/>
      <c r="S42" s="162"/>
      <c r="T42" s="162" t="str">
        <f>IF(AND('Mapa final'!$AF$48="Baja",'Mapa final'!$AH$48="Menor"),CONCATENATE("R1C",'Mapa final'!$A$48),"")</f>
        <v>R1CG20</v>
      </c>
      <c r="U42" s="162"/>
      <c r="V42" s="168"/>
      <c r="W42" s="162"/>
      <c r="X42" s="162"/>
      <c r="Y42" s="162"/>
      <c r="Z42" s="162"/>
      <c r="AA42" s="163"/>
      <c r="AB42" s="146"/>
      <c r="AC42" s="147"/>
      <c r="AD42" s="147"/>
      <c r="AE42" s="147"/>
      <c r="AF42" s="147"/>
      <c r="AG42" s="149"/>
      <c r="AH42" s="153"/>
      <c r="AI42" s="154"/>
      <c r="AJ42" s="154"/>
      <c r="AK42" s="154"/>
      <c r="AL42" s="154"/>
      <c r="AM42" s="155"/>
      <c r="AN42" s="180"/>
      <c r="AO42" s="527"/>
      <c r="AP42" s="528"/>
      <c r="AQ42" s="528"/>
      <c r="AR42" s="528"/>
      <c r="AS42" s="528"/>
      <c r="AT42" s="529"/>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row>
    <row r="43" spans="1:80" ht="36" customHeight="1">
      <c r="A43" s="42"/>
      <c r="B43" s="522"/>
      <c r="C43" s="522"/>
      <c r="D43" s="523"/>
      <c r="E43" s="494"/>
      <c r="F43" s="495"/>
      <c r="G43" s="495"/>
      <c r="H43" s="495"/>
      <c r="I43" s="495"/>
      <c r="J43" s="177"/>
      <c r="K43" s="171"/>
      <c r="L43" s="171"/>
      <c r="M43" s="171"/>
      <c r="N43" s="171"/>
      <c r="O43" s="172"/>
      <c r="P43" s="168"/>
      <c r="Q43" s="162"/>
      <c r="R43" s="162"/>
      <c r="S43" s="162"/>
      <c r="T43" s="162"/>
      <c r="U43" s="162"/>
      <c r="V43" s="168"/>
      <c r="W43" s="162" t="str">
        <f>IF(AND('Mapa final'!$AF$16="Baja",'Mapa final'!$AH$16="Moderado"),CONCATENATE("R1C",'Mapa final'!$A$16),"")</f>
        <v>R1CG2</v>
      </c>
      <c r="X43" s="162"/>
      <c r="Y43" s="162"/>
      <c r="Z43" s="162"/>
      <c r="AA43" s="163"/>
      <c r="AB43" s="146"/>
      <c r="AC43" s="147"/>
      <c r="AD43" s="147"/>
      <c r="AE43" s="147"/>
      <c r="AF43" s="147"/>
      <c r="AG43" s="149"/>
      <c r="AH43" s="153"/>
      <c r="AI43" s="154"/>
      <c r="AJ43" s="154"/>
      <c r="AK43" s="154"/>
      <c r="AL43" s="154"/>
      <c r="AM43" s="155"/>
      <c r="AN43" s="180"/>
      <c r="AO43" s="527"/>
      <c r="AP43" s="528"/>
      <c r="AQ43" s="528"/>
      <c r="AR43" s="528"/>
      <c r="AS43" s="528"/>
      <c r="AT43" s="529"/>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row>
    <row r="44" spans="1:80" ht="30.75" customHeight="1">
      <c r="A44" s="42"/>
      <c r="B44" s="522"/>
      <c r="C44" s="522"/>
      <c r="D44" s="523"/>
      <c r="E44" s="494"/>
      <c r="F44" s="495"/>
      <c r="G44" s="495"/>
      <c r="H44" s="495"/>
      <c r="I44" s="495"/>
      <c r="J44" s="177" t="str">
        <f>IF(AND('Mapa final'!$AF$40="Baja",'Mapa final'!$AH$40="Menor"),CONCATENATE("R1C",'Mapa final'!$A$40),"")</f>
        <v>R1CG17</v>
      </c>
      <c r="K44" s="171"/>
      <c r="L44" s="171"/>
      <c r="M44" s="171"/>
      <c r="N44" s="171"/>
      <c r="O44" s="171" t="str">
        <f>IF(AND('Mapa final'!$AF$23="Baja",'Mapa final'!$AH$23="Leve"),CONCATENATE("R1C",'Mapa final'!$A$23),"")</f>
        <v>R1CG5</v>
      </c>
      <c r="P44" s="168"/>
      <c r="Q44" s="162"/>
      <c r="R44" s="162" t="str">
        <f>IF(AND('Mapa final'!$AF$29="Baja",'Mapa final'!$AH$29="Menor"),CONCATENATE("R1C",'Mapa final'!$A$29),"")</f>
        <v>R1CG9</v>
      </c>
      <c r="S44" s="162" t="str">
        <f>IF(AND('Mapa final'!$AF$30="Baja",'Mapa final'!$AH$30="Menor"),CONCATENATE("R1C",'Mapa final'!$A$30),"")</f>
        <v>R1CG10</v>
      </c>
      <c r="T44" s="162" t="str">
        <f>IF(AND('Mapa final'!$AF$72="Baja",'Mapa final'!$AH$72="Menor"),CONCATENATE("R1C",'Mapa final'!$A$72),"")</f>
        <v>R1CG38</v>
      </c>
      <c r="U44" s="162"/>
      <c r="V44" s="168" t="str">
        <f>IF(AND('Mapa final'!$AF$24="Baja",'Mapa final'!$AH$24="Moderado"),CONCATENATE("R1C",'Mapa final'!$A$24),"")</f>
        <v>R1CG6</v>
      </c>
      <c r="W44" s="162"/>
      <c r="X44" s="162" t="str">
        <f>IF(AND('Mapa final'!$AF$33="Baja",'Mapa final'!$AH$33="Moderado"),CONCATENATE("R1C",'Mapa final'!$A$33),"")</f>
        <v>R1CG12</v>
      </c>
      <c r="Y44" s="162"/>
      <c r="Z44" s="162"/>
      <c r="AA44" s="163"/>
      <c r="AB44" s="146"/>
      <c r="AC44" s="181" t="str">
        <f>IF(AND('Mapa final'!$AF$19="Baja",'Mapa final'!$AH$19="Mayor"),CONCATENATE("R1C",'Mapa final'!$A$19),"")</f>
        <v>R1CG4</v>
      </c>
      <c r="AD44" s="147"/>
      <c r="AE44" s="147"/>
      <c r="AF44" s="147"/>
      <c r="AG44" s="149"/>
      <c r="AH44" s="153"/>
      <c r="AI44" s="154"/>
      <c r="AJ44" s="154"/>
      <c r="AK44" s="154" t="str">
        <f>IF(AND('Mapa final'!$AF$31="Baja",'Mapa final'!$AH$31="Catastrófico"),CONCATENATE("R1C",'Mapa final'!$A$31),"")</f>
        <v/>
      </c>
      <c r="AL44" s="154"/>
      <c r="AM44" s="155"/>
      <c r="AN44" s="180"/>
      <c r="AO44" s="527"/>
      <c r="AP44" s="528"/>
      <c r="AQ44" s="528"/>
      <c r="AR44" s="528"/>
      <c r="AS44" s="528"/>
      <c r="AT44" s="529"/>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row>
    <row r="45" spans="1:80" ht="40.5" customHeight="1" thickBot="1">
      <c r="A45" s="42"/>
      <c r="B45" s="522"/>
      <c r="C45" s="522"/>
      <c r="D45" s="523"/>
      <c r="E45" s="497"/>
      <c r="F45" s="498"/>
      <c r="G45" s="498"/>
      <c r="H45" s="498"/>
      <c r="I45" s="498"/>
      <c r="J45" s="178"/>
      <c r="K45" s="173"/>
      <c r="L45" s="173"/>
      <c r="M45" s="173"/>
      <c r="N45" s="173"/>
      <c r="O45" s="174"/>
      <c r="P45" s="169"/>
      <c r="Q45" s="164"/>
      <c r="R45" s="164"/>
      <c r="S45" s="164"/>
      <c r="T45" s="162" t="str">
        <f>IF(AND('Mapa final'!$AF$70="Baja",'Mapa final'!$AH$70="Menor"),CONCATENATE("R1C",'Mapa final'!$A$70),"")</f>
        <v>R1CG36</v>
      </c>
      <c r="U45" s="162" t="str">
        <f>IF(AND('Mapa final'!$AF$73="Baja",'Mapa final'!$AH$73="Menor"),CONCATENATE("R1C",'Mapa final'!$A$73),"")</f>
        <v>R1CG39</v>
      </c>
      <c r="V45" s="168" t="str">
        <f>IF(AND('Mapa final'!$AF$15="Baja",'Mapa final'!$AH$15="Moderado"),CONCATENATE("R1C",'Mapa final'!$A$15),"")</f>
        <v>R1CG1</v>
      </c>
      <c r="W45" s="164" t="str">
        <f>IF(AND('Mapa final'!$AF$59="Baja",'Mapa final'!$AH$59="Moderado"),CONCATENATE("R1C",'Mapa final'!$A$59),"")</f>
        <v>R1CG27</v>
      </c>
      <c r="X45" s="164" t="str">
        <f>IF(AND('Mapa final'!$AF$62="Baja",'Mapa final'!$AH$62="Moderado"),CONCATENATE("R1C",'Mapa final'!$A$62),"")</f>
        <v>R1CG29</v>
      </c>
      <c r="Y45" s="164"/>
      <c r="Z45" s="164" t="str">
        <f>IF(AND('Mapa final'!$AF$45="Baja",'Mapa final'!$AH$45="Moderado"),CONCATENATE("R4C",'Mapa final'!$A$42),"")</f>
        <v>R4CG18</v>
      </c>
      <c r="AA45" s="165"/>
      <c r="AB45" s="150"/>
      <c r="AC45" s="151"/>
      <c r="AD45" s="151"/>
      <c r="AE45" s="151"/>
      <c r="AF45" s="151"/>
      <c r="AG45" s="152"/>
      <c r="AH45" s="156"/>
      <c r="AI45" s="157"/>
      <c r="AJ45" s="157"/>
      <c r="AK45" s="157"/>
      <c r="AL45" s="157"/>
      <c r="AM45" s="158"/>
      <c r="AN45" s="180"/>
      <c r="AO45" s="530"/>
      <c r="AP45" s="531"/>
      <c r="AQ45" s="531"/>
      <c r="AR45" s="531"/>
      <c r="AS45" s="531"/>
      <c r="AT45" s="532"/>
    </row>
    <row r="46" spans="1:80" ht="33" customHeight="1">
      <c r="A46" s="42"/>
      <c r="B46" s="522"/>
      <c r="C46" s="522"/>
      <c r="D46" s="523"/>
      <c r="E46" s="491" t="s">
        <v>602</v>
      </c>
      <c r="F46" s="492"/>
      <c r="G46" s="492"/>
      <c r="H46" s="492"/>
      <c r="I46" s="493"/>
      <c r="J46" s="171"/>
      <c r="K46" s="175"/>
      <c r="L46" s="175"/>
      <c r="M46" s="175"/>
      <c r="N46" s="175"/>
      <c r="O46" s="176"/>
      <c r="P46" s="179"/>
      <c r="Q46" s="175"/>
      <c r="R46" s="175"/>
      <c r="S46" s="175"/>
      <c r="T46" s="175"/>
      <c r="U46" s="175"/>
      <c r="V46" s="170"/>
      <c r="W46" s="162"/>
      <c r="X46" s="162"/>
      <c r="Y46" s="166"/>
      <c r="Z46" s="166"/>
      <c r="AA46" s="167"/>
      <c r="AB46" s="145"/>
      <c r="AC46" s="145"/>
      <c r="AD46" s="145"/>
      <c r="AE46" s="145"/>
      <c r="AF46" s="145"/>
      <c r="AG46" s="148"/>
      <c r="AH46" s="159"/>
      <c r="AI46" s="160"/>
      <c r="AJ46" s="160"/>
      <c r="AK46" s="160"/>
      <c r="AL46" s="160"/>
      <c r="AM46" s="161"/>
      <c r="AN46" s="180"/>
      <c r="AO46" s="180"/>
      <c r="AP46" s="180"/>
      <c r="AQ46" s="180"/>
      <c r="AR46" s="180"/>
      <c r="AS46" s="180"/>
      <c r="AT46" s="180"/>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row>
    <row r="47" spans="1:80" ht="38.25" customHeight="1">
      <c r="A47" s="42"/>
      <c r="B47" s="522"/>
      <c r="C47" s="522"/>
      <c r="D47" s="523"/>
      <c r="E47" s="500"/>
      <c r="F47" s="495"/>
      <c r="G47" s="495"/>
      <c r="H47" s="495"/>
      <c r="I47" s="496"/>
      <c r="J47" s="171"/>
      <c r="K47" s="171"/>
      <c r="L47" s="171"/>
      <c r="M47" s="171"/>
      <c r="N47" s="171"/>
      <c r="O47" s="172"/>
      <c r="P47" s="177"/>
      <c r="Q47" s="171"/>
      <c r="R47" s="171"/>
      <c r="S47" s="171"/>
      <c r="T47" s="171"/>
      <c r="U47" s="171"/>
      <c r="V47" s="168"/>
      <c r="W47" s="162"/>
      <c r="X47" s="162"/>
      <c r="Y47" s="162" t="str">
        <f>IF(AND('Mapa final'!$AF$61="Muy Baja",'Mapa final'!$AH$61="Moderado"),CONCATENATE("R2C",'Mapa final'!$A$60),"")</f>
        <v>R2CG28</v>
      </c>
      <c r="Z47" s="162"/>
      <c r="AA47" s="163"/>
      <c r="AB47" s="147"/>
      <c r="AC47" s="147"/>
      <c r="AD47" s="147"/>
      <c r="AE47" s="147"/>
      <c r="AF47" s="147"/>
      <c r="AG47" s="149"/>
      <c r="AH47" s="153"/>
      <c r="AI47" s="154"/>
      <c r="AJ47" s="154"/>
      <c r="AK47" s="154"/>
      <c r="AL47" s="154"/>
      <c r="AM47" s="155"/>
      <c r="AN47" s="180"/>
      <c r="AO47" s="180"/>
      <c r="AP47" s="180"/>
      <c r="AQ47" s="180"/>
      <c r="AR47" s="180"/>
      <c r="AS47" s="180"/>
      <c r="AT47" s="180"/>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row>
    <row r="48" spans="1:80" ht="25.5" customHeight="1">
      <c r="A48" s="42"/>
      <c r="B48" s="522"/>
      <c r="C48" s="522"/>
      <c r="D48" s="523"/>
      <c r="E48" s="500"/>
      <c r="F48" s="495"/>
      <c r="G48" s="495"/>
      <c r="H48" s="495"/>
      <c r="I48" s="496"/>
      <c r="J48" s="177"/>
      <c r="K48" s="171"/>
      <c r="L48" s="171"/>
      <c r="M48" s="171"/>
      <c r="N48" s="171"/>
      <c r="O48" s="172"/>
      <c r="P48" s="177"/>
      <c r="Q48" s="171"/>
      <c r="R48" s="171"/>
      <c r="S48" s="171"/>
      <c r="T48" s="171"/>
      <c r="U48" s="171"/>
      <c r="V48" s="168"/>
      <c r="W48" s="162"/>
      <c r="X48" s="162"/>
      <c r="Y48" s="162"/>
      <c r="Z48" s="162"/>
      <c r="AA48" s="163"/>
      <c r="AB48" s="147"/>
      <c r="AC48" s="147"/>
      <c r="AD48" s="147"/>
      <c r="AE48" s="147"/>
      <c r="AF48" s="147"/>
      <c r="AG48" s="149"/>
      <c r="AH48" s="153"/>
      <c r="AI48" s="154"/>
      <c r="AJ48" s="154"/>
      <c r="AK48" s="154"/>
      <c r="AL48" s="154"/>
      <c r="AM48" s="155"/>
      <c r="AN48" s="180"/>
      <c r="AO48" s="180"/>
      <c r="AP48" s="180"/>
      <c r="AQ48" s="180"/>
      <c r="AR48" s="180"/>
      <c r="AS48" s="180"/>
      <c r="AT48" s="180"/>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row>
    <row r="49" spans="1:80" ht="35.25" customHeight="1">
      <c r="A49" s="42"/>
      <c r="B49" s="522"/>
      <c r="C49" s="522"/>
      <c r="D49" s="523"/>
      <c r="E49" s="494"/>
      <c r="F49" s="495"/>
      <c r="G49" s="495"/>
      <c r="H49" s="495"/>
      <c r="I49" s="496"/>
      <c r="J49" s="177"/>
      <c r="K49" s="171"/>
      <c r="L49" s="171"/>
      <c r="M49" s="171"/>
      <c r="N49" s="171"/>
      <c r="O49" s="172"/>
      <c r="P49" s="177"/>
      <c r="Q49" s="171"/>
      <c r="R49" s="171"/>
      <c r="S49" s="171"/>
      <c r="T49" s="171"/>
      <c r="U49" s="171"/>
      <c r="V49" s="168"/>
      <c r="W49" s="162"/>
      <c r="X49" s="162"/>
      <c r="Y49" s="162"/>
      <c r="Z49" s="162"/>
      <c r="AA49" s="163"/>
      <c r="AB49" s="147"/>
      <c r="AC49" s="147"/>
      <c r="AD49" s="147"/>
      <c r="AE49" s="147"/>
      <c r="AF49" s="147"/>
      <c r="AG49" s="149"/>
      <c r="AH49" s="153"/>
      <c r="AI49" s="154"/>
      <c r="AJ49" s="154"/>
      <c r="AK49" s="154"/>
      <c r="AL49" s="154"/>
      <c r="AM49" s="155"/>
      <c r="AN49" s="180"/>
      <c r="AO49" s="180"/>
      <c r="AP49" s="180"/>
      <c r="AQ49" s="180"/>
      <c r="AR49" s="180"/>
      <c r="AS49" s="180"/>
      <c r="AT49" s="180"/>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row>
    <row r="50" spans="1:80" ht="48" customHeight="1">
      <c r="A50" s="42"/>
      <c r="B50" s="522"/>
      <c r="C50" s="522"/>
      <c r="D50" s="523"/>
      <c r="E50" s="494"/>
      <c r="F50" s="495"/>
      <c r="G50" s="495"/>
      <c r="H50" s="495"/>
      <c r="I50" s="496"/>
      <c r="J50" s="177"/>
      <c r="K50" s="171"/>
      <c r="L50" s="171"/>
      <c r="M50" s="171"/>
      <c r="N50" s="171"/>
      <c r="O50" s="172"/>
      <c r="P50" s="177"/>
      <c r="Q50" s="171"/>
      <c r="R50" s="171"/>
      <c r="S50" s="171"/>
      <c r="T50" s="171"/>
      <c r="U50" s="171"/>
      <c r="V50" s="168" t="str">
        <f>IF(AND('Mapa final'!$AF$19="Muy Baja",'Mapa final'!$AH$19="Moderado"),CONCATENATE("R5C",'Mapa final'!$V$19),"")</f>
        <v/>
      </c>
      <c r="W50" s="162"/>
      <c r="X50" s="162"/>
      <c r="Y50" s="162"/>
      <c r="Z50" s="162"/>
      <c r="AA50" s="163"/>
      <c r="AB50" s="147"/>
      <c r="AC50" s="181" t="str">
        <f>IF(AND('Mapa final'!$AF$31="Baja",'Mapa final'!$AH$31="Mayor"),CONCATENATE("R1C",'Mapa final'!$A$31),"")</f>
        <v>R1CG11</v>
      </c>
      <c r="AD50" s="181" t="str">
        <f>IF(AND('Mapa final'!$AF$38="Baja",'Mapa final'!$AH$38="Mayor"),CONCATENATE("R1C",'Mapa final'!$A$38),"")</f>
        <v>R1CG15</v>
      </c>
      <c r="AE50" s="147"/>
      <c r="AF50" s="147"/>
      <c r="AG50" s="149"/>
      <c r="AH50" s="153"/>
      <c r="AI50" s="154"/>
      <c r="AJ50" s="154"/>
      <c r="AK50" s="154"/>
      <c r="AL50" s="154"/>
      <c r="AM50" s="155"/>
      <c r="AN50" s="180"/>
      <c r="AO50" s="180"/>
      <c r="AP50" s="180"/>
      <c r="AQ50" s="180"/>
      <c r="AR50" s="180"/>
      <c r="AS50" s="180"/>
      <c r="AT50" s="180"/>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row>
    <row r="51" spans="1:80" ht="52.5" customHeight="1">
      <c r="A51" s="42"/>
      <c r="B51" s="522"/>
      <c r="C51" s="522"/>
      <c r="D51" s="523"/>
      <c r="E51" s="494"/>
      <c r="F51" s="495"/>
      <c r="G51" s="495"/>
      <c r="H51" s="495"/>
      <c r="I51" s="496"/>
      <c r="J51" s="177"/>
      <c r="K51" s="171"/>
      <c r="L51" s="171"/>
      <c r="M51" s="171"/>
      <c r="N51" s="171"/>
      <c r="O51" s="172"/>
      <c r="P51" s="177"/>
      <c r="Q51" s="171"/>
      <c r="R51" s="171" t="str">
        <f>IF(AND('Mapa final'!$AF$53="Baja",'Mapa final'!$AH$53="Menor"),CONCATENATE("R1C",'Mapa final'!$A$53),"")</f>
        <v>R1CG24</v>
      </c>
      <c r="S51" s="171" t="str">
        <f>IF(AND('Mapa final'!$AF$69="Baja",'Mapa final'!$AH$69="Menor"),CONCATENATE("R1C",'Mapa final'!$A$69),"")</f>
        <v>R1CG35</v>
      </c>
      <c r="T51" s="171"/>
      <c r="U51" s="171"/>
      <c r="V51" s="168" t="str">
        <f>IF(AND('Mapa final'!$AF$23="Muy Baja",'Mapa final'!$AH$23="Moderado"),CONCATENATE("R6C",'Mapa final'!$V$23),"")</f>
        <v/>
      </c>
      <c r="W51" s="162"/>
      <c r="X51" s="162" t="str">
        <f>IF(AND('Mapa final'!$AF$39="Baja",'Mapa final'!$AH$39="Moderado"),CONCATENATE("R1C",'Mapa final'!$A$39),"")</f>
        <v>R1CG16</v>
      </c>
      <c r="Y51" s="162"/>
      <c r="Z51" s="162"/>
      <c r="AA51" s="163"/>
      <c r="AB51" s="147"/>
      <c r="AC51" s="147"/>
      <c r="AD51" s="147"/>
      <c r="AE51" s="147"/>
      <c r="AF51" s="147"/>
      <c r="AG51" s="149"/>
      <c r="AH51" s="153"/>
      <c r="AI51" s="154"/>
      <c r="AJ51" s="154"/>
      <c r="AK51" s="154"/>
      <c r="AL51" s="154"/>
      <c r="AM51" s="155"/>
      <c r="AN51" s="180"/>
      <c r="AO51" s="180"/>
      <c r="AP51" s="180"/>
      <c r="AQ51" s="180"/>
      <c r="AR51" s="180"/>
      <c r="AS51" s="180"/>
      <c r="AT51" s="180"/>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row>
    <row r="52" spans="1:80" ht="15" customHeight="1">
      <c r="A52" s="42"/>
      <c r="B52" s="522"/>
      <c r="C52" s="522"/>
      <c r="D52" s="523"/>
      <c r="E52" s="494"/>
      <c r="F52" s="495"/>
      <c r="G52" s="495"/>
      <c r="H52" s="495"/>
      <c r="I52" s="496"/>
      <c r="J52" s="177"/>
      <c r="K52" s="171"/>
      <c r="L52" s="171"/>
      <c r="M52" s="171"/>
      <c r="N52" s="171"/>
      <c r="O52" s="172"/>
      <c r="P52" s="177"/>
      <c r="Q52" s="171"/>
      <c r="R52" s="171"/>
      <c r="S52" s="171"/>
      <c r="T52" s="171"/>
      <c r="U52" s="171"/>
      <c r="V52" s="168" t="str">
        <f>IF(AND('Mapa final'!$AF$24="Muy Baja",'Mapa final'!$AH$24="Moderado"),CONCATENATE("R7C",'Mapa final'!$V$24),"")</f>
        <v/>
      </c>
      <c r="W52" s="162"/>
      <c r="X52" s="162"/>
      <c r="Y52" s="162"/>
      <c r="Z52" s="162"/>
      <c r="AA52" s="163"/>
      <c r="AB52" s="147"/>
      <c r="AC52" s="147"/>
      <c r="AD52" s="147"/>
      <c r="AE52" s="147"/>
      <c r="AF52" s="147"/>
      <c r="AG52" s="149"/>
      <c r="AH52" s="153"/>
      <c r="AI52" s="154"/>
      <c r="AJ52" s="154"/>
      <c r="AK52" s="154"/>
      <c r="AL52" s="154"/>
      <c r="AM52" s="155"/>
      <c r="AN52" s="180"/>
      <c r="AO52" s="180"/>
      <c r="AP52" s="180"/>
      <c r="AQ52" s="180"/>
      <c r="AR52" s="180"/>
      <c r="AS52" s="180"/>
      <c r="AT52" s="180"/>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row>
    <row r="53" spans="1:80" ht="45" customHeight="1">
      <c r="A53" s="42"/>
      <c r="B53" s="522"/>
      <c r="C53" s="522"/>
      <c r="D53" s="523"/>
      <c r="E53" s="494"/>
      <c r="F53" s="495"/>
      <c r="G53" s="495"/>
      <c r="H53" s="495"/>
      <c r="I53" s="496"/>
      <c r="J53" s="177"/>
      <c r="K53" s="171"/>
      <c r="L53" s="171"/>
      <c r="M53" s="171"/>
      <c r="N53" s="171"/>
      <c r="O53" s="172"/>
      <c r="P53" s="177"/>
      <c r="Q53" s="171"/>
      <c r="R53" s="171"/>
      <c r="S53" s="171"/>
      <c r="T53" s="171"/>
      <c r="U53" s="171"/>
      <c r="V53" s="168" t="str">
        <f>IF(AND('Mapa final'!$AF$25="Muy Baja",'Mapa final'!$AH$25="Moderado"),CONCATENATE("R8C",'Mapa final'!$V$25),"")</f>
        <v/>
      </c>
      <c r="W53" s="226"/>
      <c r="X53" s="162" t="str">
        <f>IF(AND('Mapa final'!$AF$64="Muy Baja",'Mapa final'!$AH$64="Moderado"),CONCATENATE("R1C",'Mapa final'!$A$64),"")</f>
        <v>R1CG31</v>
      </c>
      <c r="Y53" s="162" t="str">
        <f>IF(AND('Mapa final'!$AF$65="Muy Baja",'Mapa final'!$AH$65="Moderado"),CONCATENATE("R1C",'Mapa final'!$A$65),"")</f>
        <v>R1CG32</v>
      </c>
      <c r="Z53" s="162" t="str">
        <f>IF(AND('Mapa final'!$AF$66="Muy Baja",'Mapa final'!$AH$66="Moderado"),CONCATENATE("R1C",'Mapa final'!$A$66),"")</f>
        <v>R1CG33</v>
      </c>
      <c r="AA53" s="163" t="str">
        <f>IF(AND('Mapa final'!$AF$67="Muy Baja",'Mapa final'!$AH$67="Moderado"),CONCATENATE("R1C",'Mapa final'!$A$67),"")</f>
        <v>R1CG34</v>
      </c>
      <c r="AB53" s="147"/>
      <c r="AC53" s="147"/>
      <c r="AD53" s="147"/>
      <c r="AE53" s="147"/>
      <c r="AF53" s="147"/>
      <c r="AG53" s="149"/>
      <c r="AH53" s="153"/>
      <c r="AI53" s="154"/>
      <c r="AJ53" s="154"/>
      <c r="AK53" s="154"/>
      <c r="AL53" s="154"/>
      <c r="AM53" s="155"/>
      <c r="AN53" s="180"/>
      <c r="AO53" s="180"/>
      <c r="AP53" s="180"/>
      <c r="AQ53" s="180"/>
      <c r="AR53" s="180"/>
      <c r="AS53" s="180"/>
      <c r="AT53" s="180"/>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row>
    <row r="54" spans="1:80" ht="26.25" customHeight="1">
      <c r="A54" s="42"/>
      <c r="B54" s="522"/>
      <c r="C54" s="522"/>
      <c r="D54" s="523"/>
      <c r="E54" s="494"/>
      <c r="F54" s="495"/>
      <c r="G54" s="495"/>
      <c r="H54" s="495"/>
      <c r="I54" s="496"/>
      <c r="J54" s="177" t="str">
        <f>IF(AND('Mapa final'!$AF$27="Muy Baja",'Mapa final'!$AH$27="Leve"),CONCATENATE("R9C",'Mapa final'!$V$27),"")</f>
        <v/>
      </c>
      <c r="K54" s="171"/>
      <c r="L54" s="171"/>
      <c r="M54" s="171"/>
      <c r="N54" s="171"/>
      <c r="O54" s="172"/>
      <c r="P54" s="177" t="str">
        <f>IF(AND('Mapa final'!$AF$27="Muy Baja",'Mapa final'!$AH$27="Menor"),CONCATENATE("R9C",'Mapa final'!$V$27),"")</f>
        <v/>
      </c>
      <c r="Q54" s="171"/>
      <c r="R54" s="171"/>
      <c r="S54" s="171"/>
      <c r="T54" s="171" t="str">
        <f>IF(AND('Mapa final'!$AF$57="Muy Baja",'Mapa final'!$AH$57="Menor"),CONCATENATE("R2C",'Mapa final'!$A$56),"")</f>
        <v>R2CG25</v>
      </c>
      <c r="U54" s="171"/>
      <c r="V54" s="168" t="str">
        <f>IF(AND('Mapa final'!$AF$27="Muy Baja",'Mapa final'!$AH$27="Moderado"),CONCATENATE("R9C",'Mapa final'!$V$27),"")</f>
        <v/>
      </c>
      <c r="W54" s="162"/>
      <c r="X54" s="162" t="str">
        <f>IF(AND('Mapa final'!$AF$36="Baja",'Mapa final'!$AH$36="Moderado"),CONCATENATE("R2C",'Mapa final'!$A$36),"")</f>
        <v>R2CG14</v>
      </c>
      <c r="Y54" s="162"/>
      <c r="Z54" s="162"/>
      <c r="AA54" s="163"/>
      <c r="AB54" s="147"/>
      <c r="AC54" s="147"/>
      <c r="AD54" s="147"/>
      <c r="AE54" s="147"/>
      <c r="AF54" s="147"/>
      <c r="AG54" s="149"/>
      <c r="AH54" s="153"/>
      <c r="AI54" s="154"/>
      <c r="AJ54" s="154"/>
      <c r="AK54" s="154"/>
      <c r="AL54" s="154"/>
      <c r="AM54" s="155"/>
      <c r="AN54" s="180"/>
      <c r="AO54" s="180"/>
      <c r="AP54" s="180"/>
      <c r="AQ54" s="180"/>
      <c r="AR54" s="180"/>
      <c r="AS54" s="180"/>
      <c r="AT54" s="180"/>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row>
    <row r="55" spans="1:80" ht="33.75" customHeight="1" thickBot="1">
      <c r="A55" s="42"/>
      <c r="B55" s="522"/>
      <c r="C55" s="522"/>
      <c r="D55" s="523"/>
      <c r="E55" s="497"/>
      <c r="F55" s="498"/>
      <c r="G55" s="498"/>
      <c r="H55" s="498"/>
      <c r="I55" s="499"/>
      <c r="J55" s="178" t="str">
        <f>IF(AND('Mapa final'!$AF$17="Muy Baja",'Mapa final'!$AH$17="Leve"),CONCATENATE("R2C",'Mapa final'!$A$17),"")</f>
        <v>R2CG3</v>
      </c>
      <c r="K55" s="173"/>
      <c r="L55" s="173"/>
      <c r="M55" s="173"/>
      <c r="N55" s="173"/>
      <c r="O55" s="174"/>
      <c r="P55" s="182"/>
      <c r="Q55" s="173"/>
      <c r="R55" s="173"/>
      <c r="S55" s="182" t="str">
        <f>IF(AND('Mapa final'!$AF$28="Muy Baja",'Mapa final'!$AH$28="Menor"),CONCATENATE("R2C",'Mapa final'!$A$27),"")</f>
        <v>R2CG8</v>
      </c>
      <c r="T55" s="182" t="str">
        <f>IF(AND('Mapa final'!$AF$52="Muy Baja",'Mapa final'!$AH$52="Menor"),CONCATENATE("R1C",'Mapa final'!$A$52),"")</f>
        <v>R1CG23</v>
      </c>
      <c r="U55" s="171"/>
      <c r="V55" s="169" t="str">
        <f>IF(AND('Mapa final'!$AF$29="Muy Baja",'Mapa final'!$AH$29="Moderado"),CONCATENATE("R10C",'Mapa final'!$V$29),"")</f>
        <v/>
      </c>
      <c r="W55" s="164" t="str">
        <f>IF(AND('Mapa final'!$AF$71="Muy Baja",'Mapa final'!$AH$71="Moderado"),CONCATENATE("R1C",'Mapa final'!$A$71),"")</f>
        <v>R1CG37</v>
      </c>
      <c r="X55" s="164" t="str">
        <f>IF(AND('Mapa final'!$AF$34="Baja",'Mapa final'!$AH$34="Moderado"),CONCATENATE("R2C",'Mapa final'!$A$34),"")</f>
        <v>R2CG13</v>
      </c>
      <c r="Y55" s="164" t="str">
        <f>IF(AND('Mapa final'!$AF$58="Muy Baja",'Mapa final'!$AH$58="Moderado"),CONCATENATE("R1C",'Mapa final'!$A$58),"")</f>
        <v>R1CG26</v>
      </c>
      <c r="Z55" s="164"/>
      <c r="AA55" s="165"/>
      <c r="AB55" s="151"/>
      <c r="AC55" s="151"/>
      <c r="AD55" s="151"/>
      <c r="AE55" s="151"/>
      <c r="AF55" s="151"/>
      <c r="AG55" s="152"/>
      <c r="AH55" s="156"/>
      <c r="AI55" s="157"/>
      <c r="AJ55" s="157"/>
      <c r="AK55" s="157"/>
      <c r="AL55" s="157"/>
      <c r="AM55" s="158"/>
      <c r="AN55" s="180"/>
      <c r="AO55" s="180"/>
      <c r="AP55" s="180"/>
      <c r="AQ55" s="180"/>
      <c r="AR55" s="180"/>
      <c r="AS55" s="180"/>
      <c r="AT55" s="180"/>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row>
    <row r="56" spans="1:80" ht="36">
      <c r="A56" s="42"/>
      <c r="B56" s="180"/>
      <c r="C56" s="180"/>
      <c r="D56" s="180"/>
      <c r="E56" s="180"/>
      <c r="F56" s="180"/>
      <c r="G56" s="180"/>
      <c r="H56" s="180"/>
      <c r="I56" s="180"/>
      <c r="J56" s="491" t="s">
        <v>603</v>
      </c>
      <c r="K56" s="492"/>
      <c r="L56" s="492"/>
      <c r="M56" s="492"/>
      <c r="N56" s="492"/>
      <c r="O56" s="493"/>
      <c r="P56" s="491" t="s">
        <v>604</v>
      </c>
      <c r="Q56" s="492"/>
      <c r="R56" s="492"/>
      <c r="S56" s="492"/>
      <c r="T56" s="492"/>
      <c r="U56" s="493"/>
      <c r="V56" s="500" t="s">
        <v>605</v>
      </c>
      <c r="W56" s="495"/>
      <c r="X56" s="495"/>
      <c r="Y56" s="495"/>
      <c r="Z56" s="495"/>
      <c r="AA56" s="496"/>
      <c r="AB56" s="491" t="s">
        <v>606</v>
      </c>
      <c r="AC56" s="501"/>
      <c r="AD56" s="492"/>
      <c r="AE56" s="492"/>
      <c r="AF56" s="492"/>
      <c r="AG56" s="493"/>
      <c r="AH56" s="491" t="s">
        <v>607</v>
      </c>
      <c r="AI56" s="492"/>
      <c r="AJ56" s="492"/>
      <c r="AK56" s="492"/>
      <c r="AL56" s="492"/>
      <c r="AM56" s="493"/>
      <c r="AN56" s="180"/>
      <c r="AO56" s="180"/>
      <c r="AP56" s="180"/>
      <c r="AQ56" s="180"/>
      <c r="AR56" s="180"/>
      <c r="AS56" s="180"/>
      <c r="AT56" s="180"/>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row>
    <row r="57" spans="1:80" ht="36">
      <c r="A57" s="42"/>
      <c r="B57" s="180"/>
      <c r="C57" s="180"/>
      <c r="D57" s="180"/>
      <c r="E57" s="180"/>
      <c r="F57" s="180"/>
      <c r="G57" s="180"/>
      <c r="H57" s="180"/>
      <c r="I57" s="180"/>
      <c r="J57" s="494"/>
      <c r="K57" s="495"/>
      <c r="L57" s="495"/>
      <c r="M57" s="495"/>
      <c r="N57" s="495"/>
      <c r="O57" s="496"/>
      <c r="P57" s="494"/>
      <c r="Q57" s="495"/>
      <c r="R57" s="495"/>
      <c r="S57" s="495"/>
      <c r="T57" s="495"/>
      <c r="U57" s="496"/>
      <c r="V57" s="494"/>
      <c r="W57" s="495"/>
      <c r="X57" s="495"/>
      <c r="Y57" s="495"/>
      <c r="Z57" s="495"/>
      <c r="AA57" s="496"/>
      <c r="AB57" s="494"/>
      <c r="AC57" s="495"/>
      <c r="AD57" s="495"/>
      <c r="AE57" s="495"/>
      <c r="AF57" s="495"/>
      <c r="AG57" s="496"/>
      <c r="AH57" s="494"/>
      <c r="AI57" s="495"/>
      <c r="AJ57" s="495"/>
      <c r="AK57" s="495"/>
      <c r="AL57" s="495"/>
      <c r="AM57" s="496"/>
      <c r="AN57" s="180"/>
      <c r="AO57" s="180"/>
      <c r="AP57" s="180"/>
      <c r="AQ57" s="180"/>
      <c r="AR57" s="180"/>
      <c r="AS57" s="180"/>
      <c r="AT57" s="180"/>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row>
    <row r="58" spans="1:80" ht="36">
      <c r="A58" s="42"/>
      <c r="B58" s="180"/>
      <c r="C58" s="180"/>
      <c r="D58" s="180"/>
      <c r="E58" s="180"/>
      <c r="F58" s="180"/>
      <c r="G58" s="180"/>
      <c r="H58" s="180"/>
      <c r="I58" s="180"/>
      <c r="J58" s="494"/>
      <c r="K58" s="495"/>
      <c r="L58" s="495"/>
      <c r="M58" s="495"/>
      <c r="N58" s="495"/>
      <c r="O58" s="496"/>
      <c r="P58" s="494"/>
      <c r="Q58" s="495"/>
      <c r="R58" s="495"/>
      <c r="S58" s="495"/>
      <c r="T58" s="495"/>
      <c r="U58" s="496"/>
      <c r="V58" s="494"/>
      <c r="W58" s="495"/>
      <c r="X58" s="495"/>
      <c r="Y58" s="495"/>
      <c r="Z58" s="495"/>
      <c r="AA58" s="496"/>
      <c r="AB58" s="494"/>
      <c r="AC58" s="495"/>
      <c r="AD58" s="495"/>
      <c r="AE58" s="495"/>
      <c r="AF58" s="495"/>
      <c r="AG58" s="496"/>
      <c r="AH58" s="494"/>
      <c r="AI58" s="495"/>
      <c r="AJ58" s="495"/>
      <c r="AK58" s="495"/>
      <c r="AL58" s="495"/>
      <c r="AM58" s="496"/>
      <c r="AN58" s="180"/>
      <c r="AO58" s="180"/>
      <c r="AP58" s="180"/>
      <c r="AQ58" s="180"/>
      <c r="AR58" s="180"/>
      <c r="AS58" s="180"/>
      <c r="AT58" s="180"/>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row>
    <row r="59" spans="1:80" ht="36">
      <c r="A59" s="42"/>
      <c r="B59" s="180"/>
      <c r="C59" s="180"/>
      <c r="D59" s="180"/>
      <c r="E59" s="180"/>
      <c r="F59" s="180"/>
      <c r="G59" s="180"/>
      <c r="H59" s="180"/>
      <c r="I59" s="180"/>
      <c r="J59" s="494"/>
      <c r="K59" s="495"/>
      <c r="L59" s="495"/>
      <c r="M59" s="495"/>
      <c r="N59" s="495"/>
      <c r="O59" s="496"/>
      <c r="P59" s="494"/>
      <c r="Q59" s="495"/>
      <c r="R59" s="495"/>
      <c r="S59" s="495"/>
      <c r="T59" s="495"/>
      <c r="U59" s="496"/>
      <c r="V59" s="494"/>
      <c r="W59" s="495"/>
      <c r="X59" s="495"/>
      <c r="Y59" s="495"/>
      <c r="Z59" s="495"/>
      <c r="AA59" s="496"/>
      <c r="AB59" s="494"/>
      <c r="AC59" s="495"/>
      <c r="AD59" s="495"/>
      <c r="AE59" s="495"/>
      <c r="AF59" s="495"/>
      <c r="AG59" s="496"/>
      <c r="AH59" s="494"/>
      <c r="AI59" s="495"/>
      <c r="AJ59" s="495"/>
      <c r="AK59" s="495"/>
      <c r="AL59" s="495"/>
      <c r="AM59" s="496"/>
      <c r="AN59" s="180"/>
      <c r="AO59" s="180"/>
      <c r="AP59" s="180"/>
      <c r="AQ59" s="180"/>
      <c r="AR59" s="180"/>
      <c r="AS59" s="180"/>
      <c r="AT59" s="180"/>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row>
    <row r="60" spans="1:80" ht="36">
      <c r="A60" s="42"/>
      <c r="B60" s="180"/>
      <c r="C60" s="180"/>
      <c r="D60" s="180"/>
      <c r="E60" s="180"/>
      <c r="F60" s="180"/>
      <c r="G60" s="180"/>
      <c r="H60" s="180"/>
      <c r="I60" s="180"/>
      <c r="J60" s="494"/>
      <c r="K60" s="495"/>
      <c r="L60" s="495"/>
      <c r="M60" s="495"/>
      <c r="N60" s="495"/>
      <c r="O60" s="496"/>
      <c r="P60" s="494"/>
      <c r="Q60" s="495"/>
      <c r="R60" s="495"/>
      <c r="S60" s="495"/>
      <c r="T60" s="495"/>
      <c r="U60" s="496"/>
      <c r="V60" s="494"/>
      <c r="W60" s="495"/>
      <c r="X60" s="495"/>
      <c r="Y60" s="495"/>
      <c r="Z60" s="495"/>
      <c r="AA60" s="496"/>
      <c r="AB60" s="494"/>
      <c r="AC60" s="495"/>
      <c r="AD60" s="495"/>
      <c r="AE60" s="495"/>
      <c r="AF60" s="495"/>
      <c r="AG60" s="496"/>
      <c r="AH60" s="494"/>
      <c r="AI60" s="495"/>
      <c r="AJ60" s="495"/>
      <c r="AK60" s="495"/>
      <c r="AL60" s="495"/>
      <c r="AM60" s="496"/>
      <c r="AN60" s="180"/>
      <c r="AO60" s="180"/>
      <c r="AP60" s="180"/>
      <c r="AQ60" s="180"/>
      <c r="AR60" s="180"/>
      <c r="AS60" s="180"/>
      <c r="AT60" s="180"/>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row>
    <row r="61" spans="1:80" ht="36.75" thickBot="1">
      <c r="A61" s="42"/>
      <c r="B61" s="180"/>
      <c r="C61" s="180"/>
      <c r="D61" s="180"/>
      <c r="E61" s="180"/>
      <c r="F61" s="180"/>
      <c r="G61" s="180"/>
      <c r="H61" s="180"/>
      <c r="I61" s="180"/>
      <c r="J61" s="497"/>
      <c r="K61" s="498"/>
      <c r="L61" s="498"/>
      <c r="M61" s="498"/>
      <c r="N61" s="498"/>
      <c r="O61" s="499"/>
      <c r="P61" s="497"/>
      <c r="Q61" s="498"/>
      <c r="R61" s="498"/>
      <c r="S61" s="498"/>
      <c r="T61" s="498"/>
      <c r="U61" s="499"/>
      <c r="V61" s="497"/>
      <c r="W61" s="498"/>
      <c r="X61" s="498"/>
      <c r="Y61" s="498"/>
      <c r="Z61" s="498"/>
      <c r="AA61" s="499"/>
      <c r="AB61" s="497"/>
      <c r="AC61" s="498"/>
      <c r="AD61" s="498"/>
      <c r="AE61" s="498"/>
      <c r="AF61" s="498"/>
      <c r="AG61" s="499"/>
      <c r="AH61" s="497"/>
      <c r="AI61" s="498"/>
      <c r="AJ61" s="498"/>
      <c r="AK61" s="498"/>
      <c r="AL61" s="498"/>
      <c r="AM61" s="499"/>
      <c r="AN61" s="180"/>
      <c r="AO61" s="180"/>
      <c r="AP61" s="180"/>
      <c r="AQ61" s="180"/>
      <c r="AR61" s="180"/>
      <c r="AS61" s="180"/>
      <c r="AT61" s="180"/>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row>
    <row r="62" spans="1:80">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80" ht="15" customHeight="1">
      <c r="A63" s="42"/>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2"/>
      <c r="AV63" s="42"/>
      <c r="AW63" s="42"/>
      <c r="AX63" s="42"/>
      <c r="AY63" s="42"/>
      <c r="AZ63" s="42"/>
      <c r="BA63" s="42"/>
      <c r="BB63" s="42"/>
      <c r="BC63" s="42"/>
      <c r="BD63" s="42"/>
      <c r="BE63" s="42"/>
      <c r="BF63" s="42"/>
      <c r="BG63" s="42"/>
      <c r="BH63" s="42"/>
    </row>
    <row r="64" spans="1:80" ht="15" customHeight="1">
      <c r="A64" s="42"/>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2"/>
      <c r="AV64" s="42"/>
      <c r="AW64" s="42"/>
      <c r="AX64" s="42"/>
      <c r="AY64" s="42"/>
      <c r="AZ64" s="42"/>
      <c r="BA64" s="42"/>
      <c r="BB64" s="42"/>
      <c r="BC64" s="42"/>
      <c r="BD64" s="42"/>
      <c r="BE64" s="42"/>
      <c r="BF64" s="42"/>
      <c r="BG64" s="42"/>
      <c r="BH64" s="42"/>
    </row>
    <row r="65" spans="1:60">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row>
    <row r="75" spans="1:60">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row>
    <row r="76" spans="1:60">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row>
    <row r="77" spans="1:60">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row>
    <row r="78" spans="1:60">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row>
    <row r="79" spans="1:60">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row>
    <row r="80" spans="1:60">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row>
    <row r="81" spans="1:60">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row>
    <row r="82" spans="1:60">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row>
    <row r="83" spans="1:60">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row>
    <row r="84" spans="1:60">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row>
    <row r="85" spans="1:60">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row>
    <row r="86" spans="1:60">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row>
    <row r="87" spans="1:60">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row>
    <row r="88" spans="1:60">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row>
    <row r="89" spans="1:60">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row>
    <row r="90" spans="1:60">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row>
    <row r="91" spans="1:60">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row>
    <row r="92" spans="1:60">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row>
    <row r="133" spans="1:60">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row>
    <row r="134" spans="1:60">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row>
    <row r="135" spans="1:60">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row>
    <row r="136" spans="1:60">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row>
    <row r="137" spans="1:60">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row>
    <row r="138" spans="1:60">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row>
    <row r="139" spans="1:60">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row>
    <row r="140" spans="1:60">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row>
    <row r="141" spans="1:60">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row>
    <row r="142" spans="1:60">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row>
    <row r="143" spans="1:60">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row>
    <row r="144" spans="1:60">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row>
    <row r="145" spans="1:60">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row>
    <row r="146" spans="1:60">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row>
    <row r="147" spans="1:60">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row>
    <row r="148" spans="1:60">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row>
    <row r="149" spans="1:60">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row>
    <row r="150" spans="1:60">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row>
    <row r="151" spans="1:60">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row>
    <row r="152" spans="1:60">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row>
    <row r="153" spans="1:60">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row>
    <row r="154" spans="1:60">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row>
    <row r="155" spans="1:60">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row>
    <row r="156" spans="1:60">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row>
    <row r="157" spans="1:60">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row>
    <row r="158" spans="1:60">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row>
    <row r="159" spans="1:60">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row>
    <row r="160" spans="1:60">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row>
    <row r="161" spans="1:60">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row>
    <row r="162" spans="1:60">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row>
    <row r="163" spans="1:60">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row>
    <row r="164" spans="1:60">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c r="AM164" s="42"/>
      <c r="AN164" s="42"/>
      <c r="AO164" s="42"/>
      <c r="AP164" s="42"/>
      <c r="AQ164" s="42"/>
      <c r="AR164" s="42"/>
      <c r="AS164" s="42"/>
      <c r="AT164" s="42"/>
      <c r="AU164" s="42"/>
      <c r="AV164" s="42"/>
      <c r="AW164" s="42"/>
      <c r="AX164" s="42"/>
      <c r="AY164" s="42"/>
      <c r="AZ164" s="42"/>
      <c r="BA164" s="42"/>
      <c r="BB164" s="42"/>
      <c r="BC164" s="42"/>
      <c r="BD164" s="42"/>
      <c r="BE164" s="42"/>
      <c r="BF164" s="42"/>
      <c r="BG164" s="42"/>
      <c r="BH164" s="42"/>
    </row>
    <row r="165" spans="1:60">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row>
    <row r="166" spans="1:60">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row>
    <row r="167" spans="1:60">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row>
    <row r="168" spans="1:60">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c r="BF168" s="42"/>
      <c r="BG168" s="42"/>
      <c r="BH168" s="42"/>
    </row>
    <row r="169" spans="1:60">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row>
    <row r="170" spans="1:60">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row>
    <row r="171" spans="1:60">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row>
    <row r="172" spans="1:60">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row>
    <row r="173" spans="1:60">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row>
    <row r="174" spans="1:60">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row>
    <row r="175" spans="1:60">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row>
    <row r="176" spans="1:60">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row>
    <row r="177" spans="1:60">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row>
    <row r="178" spans="1:60">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row>
    <row r="179" spans="1:60">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row>
    <row r="180" spans="1:60">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row>
    <row r="181" spans="1:60">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row>
    <row r="182" spans="1:60">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row>
    <row r="183" spans="1:60">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row>
    <row r="184" spans="1:60">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row>
    <row r="185" spans="1:60">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row>
    <row r="186" spans="1:60">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row>
    <row r="187" spans="1:60">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row>
    <row r="188" spans="1:60">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row>
    <row r="189" spans="1:60">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row>
    <row r="190" spans="1:60">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row>
    <row r="191" spans="1:60">
      <c r="A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row>
    <row r="192" spans="1:60">
      <c r="A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row>
    <row r="193" spans="1:60">
      <c r="A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row>
    <row r="194" spans="1:60">
      <c r="A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row>
    <row r="195" spans="1:60">
      <c r="A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row>
    <row r="196" spans="1:60">
      <c r="A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row>
    <row r="197" spans="1:60">
      <c r="A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row>
    <row r="198" spans="1:60">
      <c r="A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row>
    <row r="199" spans="1:60">
      <c r="A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row>
    <row r="200" spans="1:60">
      <c r="A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row>
    <row r="201" spans="1:60">
      <c r="A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row>
    <row r="202" spans="1:60">
      <c r="A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row>
    <row r="203" spans="1:60">
      <c r="A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row>
    <row r="204" spans="1:60">
      <c r="A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row>
    <row r="205" spans="1:60">
      <c r="A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row>
    <row r="206" spans="1:60">
      <c r="A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row>
    <row r="207" spans="1:60">
      <c r="A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row>
    <row r="208" spans="1:60">
      <c r="A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c r="BF208" s="42"/>
      <c r="BG208" s="42"/>
      <c r="BH208" s="42"/>
    </row>
    <row r="209" spans="1:60">
      <c r="A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row>
    <row r="210" spans="1:60">
      <c r="A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c r="BF210" s="42"/>
      <c r="BG210" s="42"/>
      <c r="BH210" s="42"/>
    </row>
    <row r="211" spans="1:60">
      <c r="A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row>
    <row r="212" spans="1:60">
      <c r="A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c r="BF212" s="42"/>
      <c r="BG212" s="42"/>
      <c r="BH212" s="42"/>
    </row>
    <row r="213" spans="1:60">
      <c r="A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row>
    <row r="214" spans="1:60">
      <c r="A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c r="BF214" s="42"/>
      <c r="BG214" s="42"/>
      <c r="BH214" s="42"/>
    </row>
    <row r="215" spans="1:60">
      <c r="A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row>
    <row r="216" spans="1:60">
      <c r="A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c r="BF216" s="42"/>
      <c r="BG216" s="42"/>
      <c r="BH216" s="42"/>
    </row>
    <row r="217" spans="1:60">
      <c r="A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row>
    <row r="218" spans="1:60">
      <c r="A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c r="BF218" s="42"/>
      <c r="BG218" s="42"/>
      <c r="BH218" s="42"/>
    </row>
    <row r="219" spans="1:60">
      <c r="A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row>
    <row r="220" spans="1:60">
      <c r="A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c r="BF220" s="42"/>
      <c r="BG220" s="42"/>
      <c r="BH220" s="42"/>
    </row>
    <row r="221" spans="1:60">
      <c r="A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row>
    <row r="222" spans="1:60">
      <c r="A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row>
    <row r="223" spans="1:60">
      <c r="A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row>
    <row r="224" spans="1:60">
      <c r="A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c r="BF224" s="42"/>
      <c r="BG224" s="42"/>
      <c r="BH224" s="42"/>
    </row>
    <row r="225" spans="1:60">
      <c r="A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row>
    <row r="226" spans="1:60">
      <c r="A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row>
    <row r="227" spans="1:60">
      <c r="A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row>
    <row r="228" spans="1:60">
      <c r="A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row>
    <row r="229" spans="1:60">
      <c r="A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row>
    <row r="230" spans="1:60">
      <c r="A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row>
    <row r="231" spans="1:60">
      <c r="A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row>
    <row r="232" spans="1:60">
      <c r="A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row>
    <row r="233" spans="1:60">
      <c r="A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row>
    <row r="234" spans="1:60">
      <c r="A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row>
    <row r="235" spans="1:60">
      <c r="A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row>
    <row r="236" spans="1:60">
      <c r="A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row>
    <row r="237" spans="1:60">
      <c r="A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row>
    <row r="238" spans="1:60">
      <c r="A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row>
    <row r="239" spans="1:60">
      <c r="A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row>
    <row r="240" spans="1:60">
      <c r="A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row>
    <row r="241" spans="1:60">
      <c r="A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row>
    <row r="242" spans="1:60">
      <c r="A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row>
    <row r="243" spans="1:60">
      <c r="A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row>
    <row r="244" spans="1:60">
      <c r="A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row>
    <row r="245" spans="1:60">
      <c r="A245" s="42"/>
    </row>
    <row r="246" spans="1:60">
      <c r="A246" s="42"/>
    </row>
    <row r="247" spans="1:60">
      <c r="A247" s="42"/>
    </row>
    <row r="248" spans="1:60">
      <c r="A248" s="42"/>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defaultColWidth="11.42578125" defaultRowHeight="15"/>
  <cols>
    <col min="2" max="2" width="24.140625" customWidth="1"/>
    <col min="3" max="3" width="70.140625" customWidth="1"/>
    <col min="4" max="4" width="29.85546875" customWidth="1"/>
  </cols>
  <sheetData>
    <row r="1" spans="1:37" ht="23.25">
      <c r="A1" s="42"/>
      <c r="B1" s="542" t="s">
        <v>609</v>
      </c>
      <c r="C1" s="542"/>
      <c r="D1" s="542"/>
      <c r="E1" s="42"/>
      <c r="F1" s="42"/>
      <c r="G1" s="42"/>
      <c r="H1" s="42"/>
      <c r="I1" s="42"/>
      <c r="J1" s="42"/>
      <c r="K1" s="42"/>
      <c r="L1" s="42"/>
      <c r="M1" s="42"/>
      <c r="N1" s="42"/>
      <c r="O1" s="42"/>
      <c r="P1" s="42"/>
      <c r="Q1" s="42"/>
      <c r="R1" s="42"/>
      <c r="S1" s="42"/>
      <c r="T1" s="42"/>
      <c r="U1" s="42"/>
      <c r="V1" s="42"/>
      <c r="W1" s="42"/>
      <c r="X1" s="42"/>
      <c r="Y1" s="42"/>
      <c r="Z1" s="42"/>
      <c r="AA1" s="42"/>
      <c r="AB1" s="42"/>
      <c r="AC1" s="42"/>
      <c r="AD1" s="42"/>
      <c r="AE1" s="42"/>
    </row>
    <row r="2" spans="1:37">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1:37" ht="25.5">
      <c r="A3" s="42"/>
      <c r="B3" s="9"/>
      <c r="C3" s="10" t="s">
        <v>610</v>
      </c>
      <c r="D3" s="10" t="s">
        <v>578</v>
      </c>
      <c r="E3" s="42"/>
      <c r="F3" s="42"/>
      <c r="G3" s="42"/>
      <c r="H3" s="42"/>
      <c r="I3" s="42"/>
      <c r="J3" s="42"/>
      <c r="K3" s="42"/>
      <c r="L3" s="42"/>
      <c r="M3" s="42"/>
      <c r="N3" s="42"/>
      <c r="O3" s="42"/>
      <c r="P3" s="42"/>
      <c r="Q3" s="42"/>
      <c r="R3" s="42"/>
      <c r="S3" s="42"/>
      <c r="T3" s="42"/>
      <c r="U3" s="42"/>
      <c r="V3" s="42"/>
      <c r="W3" s="42"/>
      <c r="X3" s="42"/>
      <c r="Y3" s="42"/>
      <c r="Z3" s="42"/>
      <c r="AA3" s="42"/>
      <c r="AB3" s="42"/>
      <c r="AC3" s="42"/>
      <c r="AD3" s="42"/>
      <c r="AE3" s="42"/>
    </row>
    <row r="4" spans="1:37" ht="51">
      <c r="A4" s="42"/>
      <c r="B4" s="11" t="s">
        <v>611</v>
      </c>
      <c r="C4" s="12" t="s">
        <v>612</v>
      </c>
      <c r="D4" s="13">
        <v>0.2</v>
      </c>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7" ht="51">
      <c r="A5" s="42"/>
      <c r="B5" s="14" t="s">
        <v>250</v>
      </c>
      <c r="C5" s="15" t="s">
        <v>613</v>
      </c>
      <c r="D5" s="16">
        <v>0.4</v>
      </c>
      <c r="E5" s="42"/>
      <c r="F5" s="42"/>
      <c r="G5" s="42"/>
      <c r="H5" s="42"/>
      <c r="I5" s="42"/>
      <c r="J5" s="42"/>
      <c r="K5" s="42"/>
      <c r="L5" s="42"/>
      <c r="M5" s="42"/>
      <c r="N5" s="42"/>
      <c r="O5" s="42"/>
      <c r="P5" s="42"/>
      <c r="Q5" s="42"/>
      <c r="R5" s="42"/>
      <c r="S5" s="42"/>
      <c r="T5" s="42"/>
      <c r="U5" s="42"/>
      <c r="V5" s="42"/>
      <c r="W5" s="42"/>
      <c r="X5" s="42"/>
      <c r="Y5" s="42"/>
      <c r="Z5" s="42"/>
      <c r="AA5" s="42"/>
      <c r="AB5" s="42"/>
      <c r="AC5" s="42"/>
      <c r="AD5" s="42"/>
      <c r="AE5" s="42"/>
    </row>
    <row r="6" spans="1:37" ht="51">
      <c r="A6" s="42"/>
      <c r="B6" s="17" t="s">
        <v>614</v>
      </c>
      <c r="C6" s="15" t="s">
        <v>615</v>
      </c>
      <c r="D6" s="16">
        <v>0.6</v>
      </c>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7" ht="76.5">
      <c r="A7" s="42"/>
      <c r="B7" s="18" t="s">
        <v>616</v>
      </c>
      <c r="C7" s="15" t="s">
        <v>617</v>
      </c>
      <c r="D7" s="16">
        <v>0.8</v>
      </c>
      <c r="E7" s="42"/>
      <c r="F7" s="42"/>
      <c r="G7" s="42"/>
      <c r="H7" s="42"/>
      <c r="I7" s="42"/>
      <c r="J7" s="42"/>
      <c r="K7" s="42"/>
      <c r="L7" s="42"/>
      <c r="M7" s="42"/>
      <c r="N7" s="42"/>
      <c r="O7" s="42"/>
      <c r="P7" s="42"/>
      <c r="Q7" s="42"/>
      <c r="R7" s="42"/>
      <c r="S7" s="42"/>
      <c r="T7" s="42"/>
      <c r="U7" s="42"/>
      <c r="V7" s="42"/>
      <c r="W7" s="42"/>
      <c r="X7" s="42"/>
      <c r="Y7" s="42"/>
      <c r="Z7" s="42"/>
      <c r="AA7" s="42"/>
      <c r="AB7" s="42"/>
      <c r="AC7" s="42"/>
      <c r="AD7" s="42"/>
      <c r="AE7" s="42"/>
    </row>
    <row r="8" spans="1:37" ht="51">
      <c r="A8" s="42"/>
      <c r="B8" s="19" t="s">
        <v>618</v>
      </c>
      <c r="C8" s="15" t="s">
        <v>619</v>
      </c>
      <c r="D8" s="16">
        <v>1</v>
      </c>
      <c r="E8" s="42"/>
      <c r="F8" s="42"/>
      <c r="G8" s="42"/>
      <c r="H8" s="42"/>
      <c r="I8" s="42"/>
      <c r="J8" s="42"/>
      <c r="K8" s="42"/>
      <c r="L8" s="42"/>
      <c r="M8" s="42"/>
      <c r="N8" s="42"/>
      <c r="O8" s="42"/>
      <c r="P8" s="42"/>
      <c r="Q8" s="42"/>
      <c r="R8" s="42"/>
      <c r="S8" s="42"/>
      <c r="T8" s="42"/>
      <c r="U8" s="42"/>
      <c r="V8" s="42"/>
      <c r="W8" s="42"/>
      <c r="X8" s="42"/>
      <c r="Y8" s="42"/>
      <c r="Z8" s="42"/>
      <c r="AA8" s="42"/>
      <c r="AB8" s="42"/>
      <c r="AC8" s="42"/>
      <c r="AD8" s="42"/>
      <c r="AE8" s="42"/>
    </row>
    <row r="9" spans="1:37">
      <c r="A9" s="42"/>
      <c r="B9" s="66"/>
      <c r="C9" s="66"/>
      <c r="D9" s="66"/>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ht="16.5">
      <c r="A10" s="42"/>
      <c r="B10" s="67"/>
      <c r="C10" s="66"/>
      <c r="D10" s="66"/>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c r="A11" s="42"/>
      <c r="B11" s="66"/>
      <c r="C11" s="66"/>
      <c r="D11" s="66"/>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c r="A12" s="42"/>
      <c r="B12" s="66"/>
      <c r="C12" s="66"/>
      <c r="D12" s="66"/>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c r="A13" s="42"/>
      <c r="B13" s="66"/>
      <c r="C13" s="66"/>
      <c r="D13" s="66"/>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c r="A14" s="42"/>
      <c r="B14" s="66"/>
      <c r="C14" s="66"/>
      <c r="D14" s="66"/>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c r="A15" s="42"/>
      <c r="B15" s="66"/>
      <c r="C15" s="66"/>
      <c r="D15" s="66"/>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c r="A16" s="42"/>
      <c r="B16" s="66"/>
      <c r="C16" s="66"/>
      <c r="D16" s="66"/>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c r="A17" s="42"/>
      <c r="B17" s="66"/>
      <c r="C17" s="66"/>
      <c r="D17" s="66"/>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c r="A18" s="42"/>
      <c r="B18" s="66"/>
      <c r="C18" s="66"/>
      <c r="D18" s="66"/>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1">
      <c r="A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c r="A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row>
    <row r="35" spans="1:31">
      <c r="A35" s="42"/>
    </row>
    <row r="36" spans="1:31">
      <c r="A36" s="42"/>
    </row>
    <row r="37" spans="1:31">
      <c r="A37" s="42"/>
    </row>
    <row r="38" spans="1:31">
      <c r="A38" s="42"/>
    </row>
    <row r="39" spans="1:31">
      <c r="A39" s="42"/>
    </row>
    <row r="40" spans="1:31">
      <c r="A40" s="42"/>
    </row>
    <row r="41" spans="1:31">
      <c r="A41" s="42"/>
    </row>
    <row r="42" spans="1:31">
      <c r="A42" s="42"/>
    </row>
    <row r="43" spans="1:31">
      <c r="A43" s="42"/>
    </row>
    <row r="44" spans="1:31">
      <c r="A44" s="42"/>
    </row>
    <row r="45" spans="1:31">
      <c r="A45" s="42"/>
    </row>
    <row r="46" spans="1:31">
      <c r="A46" s="42"/>
    </row>
    <row r="47" spans="1:31">
      <c r="A47" s="42"/>
    </row>
    <row r="48" spans="1:31">
      <c r="A48" s="42"/>
    </row>
    <row r="49" spans="1:1">
      <c r="A49" s="42"/>
    </row>
    <row r="50" spans="1:1">
      <c r="A50" s="42"/>
    </row>
    <row r="51" spans="1:1">
      <c r="A51" s="42"/>
    </row>
    <row r="52" spans="1:1">
      <c r="A52" s="42"/>
    </row>
    <row r="53" spans="1:1">
      <c r="A53" s="42"/>
    </row>
    <row r="54" spans="1:1">
      <c r="A54" s="42"/>
    </row>
    <row r="55" spans="1:1">
      <c r="A55" s="4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8" sqref="A8:XFD8"/>
    </sheetView>
  </sheetViews>
  <sheetFormatPr defaultColWidth="11.42578125" defaultRowHeight="15"/>
  <cols>
    <col min="2" max="2" width="40.42578125" customWidth="1"/>
    <col min="3" max="3" width="74.85546875" customWidth="1"/>
    <col min="4" max="4" width="135" bestFit="1" customWidth="1"/>
    <col min="5" max="5" width="144.7109375" bestFit="1" customWidth="1"/>
  </cols>
  <sheetData>
    <row r="1" spans="1:21" ht="33.75">
      <c r="A1" s="42"/>
      <c r="B1" s="543" t="s">
        <v>620</v>
      </c>
      <c r="C1" s="543"/>
      <c r="D1" s="543"/>
      <c r="E1" s="42"/>
      <c r="F1" s="42"/>
      <c r="G1" s="42"/>
      <c r="H1" s="42"/>
      <c r="I1" s="42"/>
      <c r="J1" s="42"/>
      <c r="K1" s="42"/>
      <c r="L1" s="42"/>
      <c r="M1" s="42"/>
      <c r="N1" s="42"/>
      <c r="O1" s="42"/>
      <c r="P1" s="42"/>
      <c r="Q1" s="42"/>
      <c r="R1" s="42"/>
      <c r="S1" s="42"/>
      <c r="T1" s="42"/>
      <c r="U1" s="42"/>
    </row>
    <row r="2" spans="1:21">
      <c r="A2" s="42"/>
      <c r="B2" s="42"/>
      <c r="C2" s="42"/>
      <c r="D2" s="42"/>
      <c r="E2" s="42"/>
      <c r="F2" s="42"/>
      <c r="G2" s="42"/>
      <c r="H2" s="42"/>
      <c r="I2" s="42"/>
      <c r="J2" s="42"/>
      <c r="K2" s="42"/>
      <c r="L2" s="42"/>
      <c r="M2" s="42"/>
      <c r="N2" s="42"/>
      <c r="O2" s="42"/>
      <c r="P2" s="42"/>
      <c r="Q2" s="42"/>
      <c r="R2" s="42"/>
      <c r="S2" s="42"/>
      <c r="T2" s="42"/>
      <c r="U2" s="42"/>
    </row>
    <row r="3" spans="1:21" ht="30">
      <c r="A3" s="42"/>
      <c r="B3" s="63"/>
      <c r="C3" s="32" t="s">
        <v>621</v>
      </c>
      <c r="D3" s="32" t="s">
        <v>622</v>
      </c>
      <c r="E3" s="42"/>
      <c r="F3" s="42"/>
      <c r="G3" s="42"/>
      <c r="H3" s="42"/>
      <c r="I3" s="42"/>
      <c r="J3" s="42"/>
      <c r="K3" s="42"/>
      <c r="L3" s="42"/>
      <c r="M3" s="42"/>
      <c r="N3" s="42"/>
      <c r="O3" s="42"/>
      <c r="P3" s="42"/>
      <c r="Q3" s="42"/>
      <c r="R3" s="42"/>
      <c r="S3" s="42"/>
      <c r="T3" s="42"/>
      <c r="U3" s="42"/>
    </row>
    <row r="4" spans="1:21" ht="33.75">
      <c r="A4" s="62" t="s">
        <v>623</v>
      </c>
      <c r="B4" s="35" t="s">
        <v>624</v>
      </c>
      <c r="C4" s="40" t="s">
        <v>625</v>
      </c>
      <c r="D4" s="33" t="s">
        <v>626</v>
      </c>
      <c r="E4" s="42"/>
      <c r="F4" s="42"/>
      <c r="G4" s="42"/>
      <c r="H4" s="42"/>
      <c r="I4" s="42"/>
      <c r="J4" s="42"/>
      <c r="K4" s="42"/>
      <c r="L4" s="42"/>
      <c r="M4" s="42"/>
      <c r="N4" s="42"/>
      <c r="O4" s="42"/>
      <c r="P4" s="42"/>
      <c r="Q4" s="42"/>
      <c r="R4" s="42"/>
      <c r="S4" s="42"/>
      <c r="T4" s="42"/>
      <c r="U4" s="42"/>
    </row>
    <row r="5" spans="1:21" ht="67.5">
      <c r="A5" s="62" t="s">
        <v>251</v>
      </c>
      <c r="B5" s="36" t="s">
        <v>627</v>
      </c>
      <c r="C5" s="41" t="s">
        <v>628</v>
      </c>
      <c r="D5" s="34" t="s">
        <v>629</v>
      </c>
      <c r="E5" s="42"/>
      <c r="F5" s="42"/>
      <c r="G5" s="42"/>
      <c r="H5" s="42"/>
      <c r="I5" s="42"/>
      <c r="J5" s="42"/>
      <c r="K5" s="42"/>
      <c r="L5" s="42"/>
      <c r="M5" s="42"/>
      <c r="N5" s="42"/>
      <c r="O5" s="42"/>
      <c r="P5" s="42"/>
      <c r="Q5" s="42"/>
      <c r="R5" s="42"/>
      <c r="S5" s="42"/>
      <c r="T5" s="42"/>
      <c r="U5" s="42"/>
    </row>
    <row r="6" spans="1:21" ht="67.5">
      <c r="A6" s="62" t="s">
        <v>252</v>
      </c>
      <c r="B6" s="37" t="s">
        <v>630</v>
      </c>
      <c r="C6" s="41" t="s">
        <v>631</v>
      </c>
      <c r="D6" s="34" t="s">
        <v>632</v>
      </c>
      <c r="E6" s="42"/>
      <c r="F6" s="42"/>
      <c r="G6" s="42"/>
      <c r="H6" s="42"/>
      <c r="I6" s="42"/>
      <c r="J6" s="42"/>
      <c r="K6" s="42"/>
      <c r="L6" s="42"/>
      <c r="M6" s="42"/>
      <c r="N6" s="42"/>
      <c r="O6" s="42"/>
      <c r="P6" s="42"/>
      <c r="Q6" s="42"/>
      <c r="R6" s="42"/>
      <c r="S6" s="42"/>
      <c r="T6" s="42"/>
      <c r="U6" s="42"/>
    </row>
    <row r="7" spans="1:21" ht="101.25">
      <c r="A7" s="62" t="s">
        <v>633</v>
      </c>
      <c r="B7" s="38" t="s">
        <v>634</v>
      </c>
      <c r="C7" s="41" t="s">
        <v>635</v>
      </c>
      <c r="D7" s="34" t="s">
        <v>636</v>
      </c>
      <c r="E7" s="42"/>
      <c r="F7" s="42"/>
      <c r="G7" s="42"/>
      <c r="H7" s="42"/>
      <c r="I7" s="42"/>
      <c r="J7" s="42"/>
      <c r="K7" s="42"/>
      <c r="L7" s="42"/>
      <c r="M7" s="42"/>
      <c r="N7" s="42"/>
      <c r="O7" s="42"/>
      <c r="P7" s="42"/>
      <c r="Q7" s="42"/>
      <c r="R7" s="42"/>
      <c r="S7" s="42"/>
      <c r="T7" s="42"/>
      <c r="U7" s="42"/>
    </row>
    <row r="8" spans="1:21" ht="67.5">
      <c r="A8" s="62" t="s">
        <v>637</v>
      </c>
      <c r="B8" s="39" t="s">
        <v>638</v>
      </c>
      <c r="C8" s="41" t="s">
        <v>639</v>
      </c>
      <c r="D8" s="34" t="s">
        <v>640</v>
      </c>
      <c r="E8" s="42"/>
      <c r="F8" s="42"/>
      <c r="G8" s="42"/>
      <c r="H8" s="42"/>
      <c r="I8" s="42"/>
      <c r="J8" s="42"/>
      <c r="K8" s="42"/>
      <c r="L8" s="42"/>
      <c r="M8" s="42"/>
      <c r="N8" s="42"/>
      <c r="O8" s="42"/>
      <c r="P8" s="42"/>
      <c r="Q8" s="42"/>
      <c r="R8" s="42"/>
      <c r="S8" s="42"/>
      <c r="T8" s="42"/>
      <c r="U8" s="42"/>
    </row>
    <row r="9" spans="1:21" ht="20.25">
      <c r="A9" s="62"/>
      <c r="B9" s="62"/>
      <c r="C9" s="64"/>
      <c r="D9" s="64"/>
      <c r="E9" s="42"/>
      <c r="F9" s="42"/>
      <c r="G9" s="42"/>
      <c r="H9" s="42"/>
      <c r="I9" s="42"/>
      <c r="J9" s="42"/>
      <c r="K9" s="42"/>
      <c r="L9" s="42"/>
      <c r="M9" s="42"/>
      <c r="N9" s="42"/>
      <c r="O9" s="42"/>
      <c r="P9" s="42"/>
      <c r="Q9" s="42"/>
      <c r="R9" s="42"/>
      <c r="S9" s="42"/>
      <c r="T9" s="42"/>
      <c r="U9" s="42"/>
    </row>
    <row r="10" spans="1:21" ht="16.5">
      <c r="A10" s="62"/>
      <c r="B10" s="65"/>
      <c r="C10" s="65"/>
      <c r="D10" s="65"/>
      <c r="E10" s="42"/>
      <c r="F10" s="42"/>
      <c r="G10" s="42"/>
      <c r="H10" s="42"/>
      <c r="I10" s="42"/>
      <c r="J10" s="42"/>
      <c r="K10" s="42"/>
      <c r="L10" s="42"/>
      <c r="M10" s="42"/>
      <c r="N10" s="42"/>
      <c r="O10" s="42"/>
      <c r="P10" s="42"/>
      <c r="Q10" s="42"/>
      <c r="R10" s="42"/>
      <c r="S10" s="42"/>
      <c r="T10" s="42"/>
      <c r="U10" s="42"/>
    </row>
    <row r="11" spans="1:21">
      <c r="A11" s="62"/>
      <c r="B11" s="62" t="s">
        <v>641</v>
      </c>
      <c r="C11" s="62" t="s">
        <v>642</v>
      </c>
      <c r="D11" s="62" t="s">
        <v>152</v>
      </c>
      <c r="E11" s="42"/>
      <c r="F11" s="42"/>
      <c r="G11" s="42"/>
      <c r="H11" s="42"/>
      <c r="I11" s="42"/>
      <c r="J11" s="42"/>
      <c r="K11" s="42"/>
      <c r="L11" s="42"/>
      <c r="M11" s="42"/>
      <c r="N11" s="42"/>
      <c r="O11" s="42"/>
      <c r="P11" s="42"/>
      <c r="Q11" s="42"/>
      <c r="R11" s="42"/>
      <c r="S11" s="42"/>
      <c r="T11" s="42"/>
      <c r="U11" s="42"/>
    </row>
    <row r="12" spans="1:21">
      <c r="A12" s="62"/>
      <c r="B12" s="62" t="s">
        <v>643</v>
      </c>
      <c r="C12" s="62" t="s">
        <v>393</v>
      </c>
      <c r="D12" s="62" t="s">
        <v>228</v>
      </c>
      <c r="E12" s="42"/>
      <c r="F12" s="42"/>
      <c r="G12" s="42"/>
      <c r="H12" s="42"/>
      <c r="I12" s="42"/>
      <c r="J12" s="42"/>
      <c r="K12" s="42"/>
      <c r="L12" s="42"/>
      <c r="M12" s="42"/>
      <c r="N12" s="42"/>
      <c r="O12" s="42"/>
      <c r="P12" s="42"/>
      <c r="Q12" s="42"/>
      <c r="R12" s="42"/>
      <c r="S12" s="42"/>
      <c r="T12" s="42"/>
      <c r="U12" s="42"/>
    </row>
    <row r="13" spans="1:21">
      <c r="A13" s="62"/>
      <c r="B13" s="62"/>
      <c r="C13" s="62" t="s">
        <v>644</v>
      </c>
      <c r="D13" s="62" t="s">
        <v>117</v>
      </c>
      <c r="E13" s="42"/>
      <c r="F13" s="42"/>
      <c r="G13" s="42"/>
      <c r="H13" s="42"/>
      <c r="I13" s="42"/>
      <c r="J13" s="42"/>
      <c r="K13" s="42"/>
      <c r="L13" s="42"/>
      <c r="M13" s="42"/>
      <c r="N13" s="42"/>
      <c r="O13" s="42"/>
      <c r="P13" s="42"/>
      <c r="Q13" s="42"/>
      <c r="R13" s="42"/>
      <c r="S13" s="42"/>
      <c r="T13" s="42"/>
      <c r="U13" s="42"/>
    </row>
    <row r="14" spans="1:21">
      <c r="A14" s="62"/>
      <c r="B14" s="62"/>
      <c r="C14" s="62" t="s">
        <v>645</v>
      </c>
      <c r="D14" s="62" t="s">
        <v>166</v>
      </c>
      <c r="E14" s="42"/>
      <c r="F14" s="42"/>
      <c r="G14" s="42"/>
      <c r="H14" s="42"/>
      <c r="I14" s="42"/>
      <c r="J14" s="42"/>
      <c r="K14" s="42"/>
      <c r="L14" s="42"/>
      <c r="M14" s="42"/>
      <c r="N14" s="42"/>
      <c r="O14" s="42"/>
      <c r="P14" s="42"/>
      <c r="Q14" s="42"/>
      <c r="R14" s="42"/>
      <c r="S14" s="42"/>
      <c r="T14" s="42"/>
      <c r="U14" s="42"/>
    </row>
    <row r="15" spans="1:21">
      <c r="A15" s="62"/>
      <c r="B15" s="62"/>
      <c r="C15" s="62" t="s">
        <v>646</v>
      </c>
      <c r="D15" s="62" t="s">
        <v>647</v>
      </c>
      <c r="E15" s="42"/>
      <c r="F15" s="42"/>
      <c r="G15" s="42"/>
      <c r="H15" s="42"/>
      <c r="I15" s="42"/>
      <c r="J15" s="42"/>
      <c r="K15" s="42"/>
      <c r="L15" s="42"/>
      <c r="M15" s="42"/>
      <c r="N15" s="42"/>
      <c r="O15" s="42"/>
      <c r="P15" s="42"/>
      <c r="Q15" s="42"/>
      <c r="R15" s="42"/>
      <c r="S15" s="42"/>
      <c r="T15" s="42"/>
      <c r="U15" s="42"/>
    </row>
    <row r="16" spans="1:21">
      <c r="A16" s="62"/>
      <c r="B16" s="62"/>
      <c r="C16" s="62"/>
      <c r="D16" s="62"/>
      <c r="E16" s="42"/>
      <c r="F16" s="42"/>
      <c r="G16" s="42"/>
      <c r="H16" s="42"/>
      <c r="I16" s="42"/>
      <c r="J16" s="42"/>
      <c r="K16" s="42"/>
      <c r="L16" s="42"/>
      <c r="M16" s="42"/>
      <c r="N16" s="42"/>
      <c r="O16" s="42"/>
    </row>
    <row r="17" spans="1:15">
      <c r="A17" s="62"/>
      <c r="B17" s="62"/>
      <c r="C17" s="62"/>
      <c r="D17" s="62"/>
      <c r="E17" s="42"/>
      <c r="F17" s="42"/>
      <c r="G17" s="42"/>
      <c r="H17" s="42"/>
      <c r="I17" s="42"/>
      <c r="J17" s="42"/>
      <c r="K17" s="42"/>
      <c r="L17" s="42"/>
      <c r="M17" s="42"/>
      <c r="N17" s="42"/>
      <c r="O17" s="42"/>
    </row>
    <row r="18" spans="1:15">
      <c r="A18" s="62"/>
      <c r="B18" s="66"/>
      <c r="C18" s="66"/>
      <c r="D18" s="66"/>
      <c r="E18" s="42"/>
      <c r="F18" s="42"/>
      <c r="G18" s="42"/>
      <c r="H18" s="42"/>
      <c r="I18" s="42"/>
      <c r="J18" s="42"/>
      <c r="K18" s="42"/>
      <c r="L18" s="42"/>
      <c r="M18" s="42"/>
      <c r="N18" s="42"/>
      <c r="O18" s="42"/>
    </row>
    <row r="19" spans="1:15">
      <c r="A19" s="62"/>
      <c r="B19" s="66"/>
      <c r="C19" s="66"/>
      <c r="D19" s="66"/>
      <c r="E19" s="42"/>
      <c r="F19" s="42"/>
      <c r="G19" s="42"/>
      <c r="H19" s="42"/>
      <c r="I19" s="42"/>
      <c r="J19" s="42"/>
      <c r="K19" s="42"/>
      <c r="L19" s="42"/>
      <c r="M19" s="42"/>
      <c r="N19" s="42"/>
      <c r="O19" s="42"/>
    </row>
    <row r="20" spans="1:15">
      <c r="A20" s="62"/>
      <c r="B20" s="66"/>
      <c r="C20" s="66"/>
      <c r="D20" s="66"/>
      <c r="E20" s="42"/>
      <c r="F20" s="42"/>
      <c r="G20" s="42"/>
      <c r="H20" s="42"/>
      <c r="I20" s="42"/>
      <c r="J20" s="42"/>
      <c r="K20" s="42"/>
      <c r="L20" s="42"/>
      <c r="M20" s="42"/>
      <c r="N20" s="42"/>
      <c r="O20" s="42"/>
    </row>
    <row r="21" spans="1:15">
      <c r="A21" s="62"/>
      <c r="B21" s="66"/>
      <c r="C21" s="66"/>
      <c r="D21" s="66"/>
      <c r="E21" s="42"/>
      <c r="F21" s="42"/>
      <c r="G21" s="42"/>
      <c r="H21" s="42"/>
      <c r="I21" s="42"/>
      <c r="J21" s="42"/>
      <c r="K21" s="42"/>
      <c r="L21" s="42"/>
      <c r="M21" s="42"/>
      <c r="N21" s="42"/>
      <c r="O21" s="42"/>
    </row>
    <row r="22" spans="1:15" ht="20.25">
      <c r="A22" s="62"/>
      <c r="B22" s="62"/>
      <c r="C22" s="64"/>
      <c r="D22" s="64"/>
      <c r="E22" s="42"/>
      <c r="F22" s="42"/>
      <c r="G22" s="42"/>
      <c r="H22" s="42"/>
      <c r="I22" s="42"/>
      <c r="J22" s="42"/>
      <c r="K22" s="42"/>
      <c r="L22" s="42"/>
      <c r="M22" s="42"/>
      <c r="N22" s="42"/>
      <c r="O22" s="42"/>
    </row>
    <row r="23" spans="1:15" ht="20.25">
      <c r="A23" s="62"/>
      <c r="B23" s="62"/>
      <c r="C23" s="64"/>
      <c r="D23" s="64"/>
      <c r="E23" s="42"/>
      <c r="F23" s="42"/>
      <c r="G23" s="42"/>
      <c r="H23" s="42"/>
      <c r="I23" s="42"/>
      <c r="J23" s="42"/>
      <c r="K23" s="42"/>
      <c r="L23" s="42"/>
      <c r="M23" s="42"/>
      <c r="N23" s="42"/>
      <c r="O23" s="42"/>
    </row>
    <row r="24" spans="1:15" ht="20.25">
      <c r="A24" s="62"/>
      <c r="B24" s="62"/>
      <c r="C24" s="64"/>
      <c r="D24" s="64"/>
      <c r="E24" s="42"/>
      <c r="F24" s="42"/>
      <c r="G24" s="42"/>
      <c r="H24" s="42"/>
      <c r="I24" s="42"/>
      <c r="J24" s="42"/>
      <c r="K24" s="42"/>
      <c r="L24" s="42"/>
      <c r="M24" s="42"/>
      <c r="N24" s="42"/>
      <c r="O24" s="42"/>
    </row>
    <row r="25" spans="1:15" ht="20.25">
      <c r="A25" s="62"/>
      <c r="B25" s="62"/>
      <c r="C25" s="64"/>
      <c r="D25" s="64"/>
      <c r="E25" s="42"/>
      <c r="F25" s="42"/>
      <c r="G25" s="42"/>
      <c r="H25" s="42"/>
      <c r="I25" s="42"/>
      <c r="J25" s="42"/>
      <c r="K25" s="42"/>
      <c r="L25" s="42"/>
      <c r="M25" s="42"/>
      <c r="N25" s="42"/>
      <c r="O25" s="42"/>
    </row>
    <row r="26" spans="1:15" ht="20.25">
      <c r="A26" s="62"/>
      <c r="B26" s="62"/>
      <c r="C26" s="64"/>
      <c r="D26" s="64"/>
      <c r="E26" s="42"/>
      <c r="F26" s="42"/>
      <c r="G26" s="42"/>
      <c r="H26" s="42"/>
      <c r="I26" s="42"/>
      <c r="J26" s="42"/>
      <c r="K26" s="42"/>
      <c r="L26" s="42"/>
      <c r="M26" s="42"/>
      <c r="N26" s="42"/>
      <c r="O26" s="42"/>
    </row>
    <row r="27" spans="1:15" ht="20.25">
      <c r="A27" s="62"/>
      <c r="B27" s="62"/>
      <c r="C27" s="64"/>
      <c r="D27" s="64"/>
      <c r="E27" s="42"/>
      <c r="F27" s="42"/>
      <c r="G27" s="42"/>
      <c r="H27" s="42"/>
      <c r="I27" s="42"/>
      <c r="J27" s="42"/>
      <c r="K27" s="42"/>
      <c r="L27" s="42"/>
      <c r="M27" s="42"/>
      <c r="N27" s="42"/>
      <c r="O27" s="42"/>
    </row>
    <row r="28" spans="1:15" ht="20.25">
      <c r="A28" s="62"/>
      <c r="B28" s="62"/>
      <c r="C28" s="64"/>
      <c r="D28" s="64"/>
      <c r="E28" s="42"/>
      <c r="F28" s="42"/>
      <c r="G28" s="42"/>
      <c r="H28" s="42"/>
      <c r="I28" s="42"/>
      <c r="J28" s="42"/>
      <c r="K28" s="42"/>
      <c r="L28" s="42"/>
      <c r="M28" s="42"/>
      <c r="N28" s="42"/>
      <c r="O28" s="42"/>
    </row>
    <row r="29" spans="1:15" ht="20.25">
      <c r="A29" s="62"/>
      <c r="B29" s="62"/>
      <c r="C29" s="64"/>
      <c r="D29" s="64"/>
      <c r="E29" s="42"/>
      <c r="F29" s="42"/>
      <c r="G29" s="42"/>
      <c r="H29" s="42"/>
      <c r="I29" s="42"/>
      <c r="J29" s="42"/>
      <c r="K29" s="42"/>
      <c r="L29" s="42"/>
      <c r="M29" s="42"/>
      <c r="N29" s="42"/>
      <c r="O29" s="42"/>
    </row>
    <row r="30" spans="1:15" ht="20.25">
      <c r="A30" s="62"/>
      <c r="B30" s="62"/>
      <c r="C30" s="64"/>
      <c r="D30" s="64"/>
      <c r="E30" s="42"/>
      <c r="F30" s="42"/>
      <c r="G30" s="42"/>
      <c r="H30" s="42"/>
      <c r="I30" s="42"/>
      <c r="J30" s="42"/>
      <c r="K30" s="42"/>
      <c r="L30" s="42"/>
      <c r="M30" s="42"/>
      <c r="N30" s="42"/>
      <c r="O30" s="42"/>
    </row>
    <row r="31" spans="1:15" ht="20.25">
      <c r="A31" s="62"/>
      <c r="B31" s="62"/>
      <c r="C31" s="64"/>
      <c r="D31" s="64"/>
      <c r="E31" s="42"/>
      <c r="F31" s="42"/>
      <c r="G31" s="42"/>
      <c r="H31" s="42"/>
      <c r="I31" s="42"/>
      <c r="J31" s="42"/>
      <c r="K31" s="42"/>
      <c r="L31" s="42"/>
      <c r="M31" s="42"/>
      <c r="N31" s="42"/>
      <c r="O31" s="42"/>
    </row>
    <row r="32" spans="1:15" ht="20.25">
      <c r="A32" s="62"/>
      <c r="B32" s="62"/>
      <c r="C32" s="64"/>
      <c r="D32" s="64"/>
      <c r="E32" s="42"/>
      <c r="F32" s="42"/>
      <c r="G32" s="42"/>
      <c r="H32" s="42"/>
      <c r="I32" s="42"/>
      <c r="J32" s="42"/>
      <c r="K32" s="42"/>
      <c r="L32" s="42"/>
      <c r="M32" s="42"/>
      <c r="N32" s="42"/>
      <c r="O32" s="42"/>
    </row>
    <row r="33" spans="1:15" ht="20.25">
      <c r="A33" s="62"/>
      <c r="B33" s="62"/>
      <c r="C33" s="64"/>
      <c r="D33" s="64"/>
      <c r="E33" s="42"/>
      <c r="F33" s="42"/>
      <c r="G33" s="42"/>
      <c r="H33" s="42"/>
      <c r="I33" s="42"/>
      <c r="J33" s="42"/>
      <c r="K33" s="42"/>
      <c r="L33" s="42"/>
      <c r="M33" s="42"/>
      <c r="N33" s="42"/>
      <c r="O33" s="42"/>
    </row>
    <row r="34" spans="1:15" ht="20.25">
      <c r="A34" s="62"/>
      <c r="B34" s="62"/>
      <c r="C34" s="64"/>
      <c r="D34" s="64"/>
      <c r="E34" s="42"/>
      <c r="F34" s="42"/>
      <c r="G34" s="42"/>
      <c r="H34" s="42"/>
      <c r="I34" s="42"/>
      <c r="J34" s="42"/>
      <c r="K34" s="42"/>
      <c r="L34" s="42"/>
      <c r="M34" s="42"/>
      <c r="N34" s="42"/>
      <c r="O34" s="42"/>
    </row>
    <row r="35" spans="1:15" ht="20.25">
      <c r="A35" s="62"/>
      <c r="B35" s="62"/>
      <c r="C35" s="64"/>
      <c r="D35" s="64"/>
      <c r="E35" s="42"/>
      <c r="F35" s="42"/>
      <c r="G35" s="42"/>
      <c r="H35" s="42"/>
      <c r="I35" s="42"/>
      <c r="J35" s="42"/>
      <c r="K35" s="42"/>
      <c r="L35" s="42"/>
      <c r="M35" s="42"/>
      <c r="N35" s="42"/>
      <c r="O35" s="42"/>
    </row>
    <row r="36" spans="1:15" ht="20.25">
      <c r="A36" s="62"/>
      <c r="B36" s="62"/>
      <c r="C36" s="64"/>
      <c r="D36" s="64"/>
      <c r="E36" s="42"/>
      <c r="F36" s="42"/>
      <c r="G36" s="42"/>
      <c r="H36" s="42"/>
      <c r="I36" s="42"/>
      <c r="J36" s="42"/>
      <c r="K36" s="42"/>
      <c r="L36" s="42"/>
      <c r="M36" s="42"/>
      <c r="N36" s="42"/>
      <c r="O36" s="42"/>
    </row>
    <row r="37" spans="1:15" ht="20.25">
      <c r="A37" s="62"/>
      <c r="B37" s="62"/>
      <c r="C37" s="64"/>
      <c r="D37" s="64"/>
      <c r="E37" s="42"/>
      <c r="F37" s="42"/>
      <c r="G37" s="42"/>
      <c r="H37" s="42"/>
      <c r="I37" s="42"/>
      <c r="J37" s="42"/>
      <c r="K37" s="42"/>
      <c r="L37" s="42"/>
      <c r="M37" s="42"/>
      <c r="N37" s="42"/>
      <c r="O37" s="42"/>
    </row>
    <row r="38" spans="1:15" ht="20.25">
      <c r="A38" s="62"/>
      <c r="B38" s="62"/>
      <c r="C38" s="64"/>
      <c r="D38" s="64"/>
      <c r="E38" s="42"/>
      <c r="F38" s="42"/>
      <c r="G38" s="42"/>
      <c r="H38" s="42"/>
      <c r="I38" s="42"/>
      <c r="J38" s="42"/>
      <c r="K38" s="42"/>
      <c r="L38" s="42"/>
      <c r="M38" s="42"/>
      <c r="N38" s="42"/>
      <c r="O38" s="42"/>
    </row>
    <row r="39" spans="1:15" ht="20.25">
      <c r="A39" s="62"/>
      <c r="B39" s="62"/>
      <c r="C39" s="64"/>
      <c r="D39" s="64"/>
      <c r="E39" s="42"/>
      <c r="F39" s="42"/>
      <c r="G39" s="42"/>
      <c r="H39" s="42"/>
      <c r="I39" s="42"/>
      <c r="J39" s="42"/>
      <c r="K39" s="42"/>
      <c r="L39" s="42"/>
      <c r="M39" s="42"/>
      <c r="N39" s="42"/>
      <c r="O39" s="42"/>
    </row>
    <row r="40" spans="1:15" ht="20.25">
      <c r="A40" s="62"/>
      <c r="B40" s="62"/>
      <c r="C40" s="64"/>
      <c r="D40" s="64"/>
      <c r="E40" s="42"/>
      <c r="F40" s="42"/>
      <c r="G40" s="42"/>
      <c r="H40" s="42"/>
      <c r="I40" s="42"/>
      <c r="J40" s="42"/>
      <c r="K40" s="42"/>
      <c r="L40" s="42"/>
      <c r="M40" s="42"/>
      <c r="N40" s="42"/>
      <c r="O40" s="42"/>
    </row>
    <row r="41" spans="1:15" ht="20.25">
      <c r="A41" s="62"/>
      <c r="B41" s="62"/>
      <c r="C41" s="64"/>
      <c r="D41" s="64"/>
      <c r="E41" s="42"/>
      <c r="F41" s="42"/>
      <c r="G41" s="42"/>
      <c r="H41" s="42"/>
      <c r="I41" s="42"/>
      <c r="J41" s="42"/>
      <c r="K41" s="42"/>
      <c r="L41" s="42"/>
      <c r="M41" s="42"/>
      <c r="N41" s="42"/>
      <c r="O41" s="42"/>
    </row>
    <row r="42" spans="1:15" ht="20.25">
      <c r="A42" s="62"/>
      <c r="B42" s="62"/>
      <c r="C42" s="64"/>
      <c r="D42" s="64"/>
      <c r="E42" s="42"/>
      <c r="F42" s="42"/>
      <c r="G42" s="42"/>
      <c r="H42" s="42"/>
      <c r="I42" s="42"/>
      <c r="J42" s="42"/>
      <c r="K42" s="42"/>
      <c r="L42" s="42"/>
      <c r="M42" s="42"/>
      <c r="N42" s="42"/>
      <c r="O42" s="42"/>
    </row>
    <row r="43" spans="1:15" ht="20.25">
      <c r="A43" s="62"/>
      <c r="B43" s="62"/>
      <c r="C43" s="64"/>
      <c r="D43" s="64"/>
      <c r="E43" s="42"/>
      <c r="F43" s="42"/>
      <c r="G43" s="42"/>
      <c r="H43" s="42"/>
      <c r="I43" s="42"/>
      <c r="J43" s="42"/>
      <c r="K43" s="42"/>
      <c r="L43" s="42"/>
      <c r="M43" s="42"/>
      <c r="N43" s="42"/>
      <c r="O43" s="42"/>
    </row>
    <row r="44" spans="1:15" ht="20.25">
      <c r="A44" s="62"/>
      <c r="B44" s="62"/>
      <c r="C44" s="64"/>
      <c r="D44" s="64"/>
      <c r="E44" s="42"/>
      <c r="F44" s="42"/>
      <c r="G44" s="42"/>
      <c r="H44" s="42"/>
      <c r="I44" s="42"/>
      <c r="J44" s="42"/>
      <c r="K44" s="42"/>
      <c r="L44" s="42"/>
      <c r="M44" s="42"/>
      <c r="N44" s="42"/>
      <c r="O44" s="42"/>
    </row>
    <row r="45" spans="1:15" ht="20.25">
      <c r="A45" s="62"/>
      <c r="B45" s="62"/>
      <c r="C45" s="64"/>
      <c r="D45" s="64"/>
      <c r="E45" s="42"/>
      <c r="F45" s="42"/>
      <c r="G45" s="42"/>
      <c r="H45" s="42"/>
      <c r="I45" s="42"/>
      <c r="J45" s="42"/>
      <c r="K45" s="42"/>
      <c r="L45" s="42"/>
      <c r="M45" s="42"/>
      <c r="N45" s="42"/>
      <c r="O45" s="42"/>
    </row>
    <row r="46" spans="1:15" ht="20.25">
      <c r="A46" s="62"/>
      <c r="B46" s="62"/>
      <c r="C46" s="64"/>
      <c r="D46" s="64"/>
      <c r="E46" s="42"/>
      <c r="F46" s="42"/>
      <c r="G46" s="42"/>
      <c r="H46" s="42"/>
      <c r="I46" s="42"/>
      <c r="J46" s="42"/>
      <c r="K46" s="42"/>
      <c r="L46" s="42"/>
      <c r="M46" s="42"/>
      <c r="N46" s="42"/>
      <c r="O46" s="42"/>
    </row>
    <row r="47" spans="1:15" ht="20.25">
      <c r="A47" s="62"/>
      <c r="B47" s="62"/>
      <c r="C47" s="64"/>
      <c r="D47" s="64"/>
      <c r="E47" s="42"/>
      <c r="F47" s="42"/>
      <c r="G47" s="42"/>
      <c r="H47" s="42"/>
      <c r="I47" s="42"/>
      <c r="J47" s="42"/>
      <c r="K47" s="42"/>
      <c r="L47" s="42"/>
      <c r="M47" s="42"/>
      <c r="N47" s="42"/>
      <c r="O47" s="42"/>
    </row>
    <row r="48" spans="1:15" ht="20.25">
      <c r="A48" s="62"/>
      <c r="B48" s="62"/>
      <c r="C48" s="64"/>
      <c r="D48" s="64"/>
      <c r="E48" s="42"/>
      <c r="F48" s="42"/>
      <c r="G48" s="42"/>
      <c r="H48" s="42"/>
      <c r="I48" s="42"/>
      <c r="J48" s="42"/>
      <c r="K48" s="42"/>
      <c r="L48" s="42"/>
      <c r="M48" s="42"/>
      <c r="N48" s="42"/>
      <c r="O48" s="42"/>
    </row>
    <row r="49" spans="1:15" ht="20.25">
      <c r="A49" s="62"/>
      <c r="B49" s="62"/>
      <c r="C49" s="64"/>
      <c r="D49" s="64"/>
      <c r="E49" s="42"/>
      <c r="F49" s="42"/>
      <c r="G49" s="42"/>
      <c r="H49" s="42"/>
      <c r="I49" s="42"/>
      <c r="J49" s="42"/>
      <c r="K49" s="42"/>
      <c r="L49" s="42"/>
      <c r="M49" s="42"/>
      <c r="N49" s="42"/>
      <c r="O49" s="42"/>
    </row>
    <row r="50" spans="1:15" ht="20.25">
      <c r="A50" s="62"/>
      <c r="B50" s="62"/>
      <c r="C50" s="64"/>
      <c r="D50" s="64"/>
      <c r="E50" s="42"/>
      <c r="F50" s="42"/>
      <c r="G50" s="42"/>
      <c r="H50" s="42"/>
      <c r="I50" s="42"/>
      <c r="J50" s="42"/>
      <c r="K50" s="42"/>
      <c r="L50" s="42"/>
      <c r="M50" s="42"/>
      <c r="N50" s="42"/>
      <c r="O50" s="42"/>
    </row>
    <row r="51" spans="1:15" ht="20.25">
      <c r="A51" s="62"/>
      <c r="B51" s="62"/>
      <c r="C51" s="64"/>
      <c r="D51" s="64"/>
      <c r="E51" s="42"/>
      <c r="F51" s="42"/>
      <c r="G51" s="42"/>
      <c r="H51" s="42"/>
      <c r="I51" s="42"/>
      <c r="J51" s="42"/>
      <c r="K51" s="42"/>
      <c r="L51" s="42"/>
      <c r="M51" s="42"/>
      <c r="N51" s="42"/>
      <c r="O51" s="42"/>
    </row>
    <row r="52" spans="1:15" ht="20.25">
      <c r="A52" s="62"/>
      <c r="B52" s="21"/>
      <c r="C52" s="30"/>
      <c r="D52" s="30"/>
    </row>
    <row r="53" spans="1:15" ht="20.25">
      <c r="A53" s="62"/>
      <c r="B53" s="21"/>
      <c r="C53" s="30"/>
      <c r="D53" s="30"/>
    </row>
    <row r="54" spans="1:15" ht="20.25">
      <c r="A54" s="62"/>
      <c r="B54" s="21"/>
      <c r="C54" s="30"/>
      <c r="D54" s="30"/>
    </row>
    <row r="55" spans="1:15" ht="20.25">
      <c r="A55" s="62"/>
      <c r="B55" s="21"/>
      <c r="C55" s="30"/>
      <c r="D55" s="30"/>
    </row>
    <row r="56" spans="1:15" ht="20.25">
      <c r="A56" s="62"/>
      <c r="B56" s="21"/>
      <c r="C56" s="30"/>
      <c r="D56" s="30"/>
    </row>
    <row r="57" spans="1:15" ht="20.25">
      <c r="A57" s="62"/>
      <c r="B57" s="21"/>
      <c r="C57" s="30"/>
      <c r="D57" s="30"/>
    </row>
    <row r="58" spans="1:15" ht="20.25">
      <c r="A58" s="62"/>
      <c r="B58" s="21"/>
      <c r="C58" s="30"/>
      <c r="D58" s="30"/>
    </row>
    <row r="59" spans="1:15" ht="20.25">
      <c r="A59" s="62"/>
      <c r="B59" s="21"/>
      <c r="C59" s="30"/>
      <c r="D59" s="30"/>
    </row>
    <row r="60" spans="1:15" ht="20.25">
      <c r="A60" s="62"/>
      <c r="B60" s="21"/>
      <c r="C60" s="30"/>
      <c r="D60" s="30"/>
    </row>
    <row r="61" spans="1:15" ht="20.25">
      <c r="A61" s="62"/>
      <c r="B61" s="21"/>
      <c r="C61" s="30"/>
      <c r="D61" s="30"/>
    </row>
    <row r="62" spans="1:15" ht="20.25">
      <c r="A62" s="62"/>
      <c r="B62" s="21"/>
      <c r="C62" s="30"/>
      <c r="D62" s="30"/>
    </row>
    <row r="63" spans="1:15" ht="20.25">
      <c r="A63" s="62"/>
      <c r="B63" s="21"/>
      <c r="C63" s="30"/>
      <c r="D63" s="30"/>
    </row>
    <row r="64" spans="1:15" ht="20.25">
      <c r="A64" s="62"/>
      <c r="B64" s="21"/>
      <c r="C64" s="30"/>
      <c r="D64" s="30"/>
    </row>
    <row r="65" spans="1:4" ht="20.25">
      <c r="A65" s="62"/>
      <c r="B65" s="21"/>
      <c r="C65" s="30"/>
      <c r="D65" s="30"/>
    </row>
    <row r="66" spans="1:4" ht="20.25">
      <c r="A66" s="62"/>
      <c r="B66" s="21"/>
      <c r="C66" s="30"/>
      <c r="D66" s="30"/>
    </row>
    <row r="67" spans="1:4" ht="20.25">
      <c r="A67" s="62"/>
      <c r="B67" s="21"/>
      <c r="C67" s="30"/>
      <c r="D67" s="30"/>
    </row>
    <row r="68" spans="1:4" ht="20.25">
      <c r="A68" s="62"/>
      <c r="B68" s="21"/>
      <c r="C68" s="30"/>
      <c r="D68" s="30"/>
    </row>
    <row r="69" spans="1:4" ht="20.25">
      <c r="A69" s="62"/>
      <c r="B69" s="21"/>
      <c r="C69" s="30"/>
      <c r="D69" s="30"/>
    </row>
    <row r="70" spans="1:4" ht="20.25">
      <c r="A70" s="62"/>
      <c r="B70" s="21"/>
      <c r="C70" s="30"/>
      <c r="D70" s="30"/>
    </row>
    <row r="71" spans="1:4" ht="20.25">
      <c r="A71" s="62"/>
      <c r="B71" s="21"/>
      <c r="C71" s="30"/>
      <c r="D71" s="30"/>
    </row>
    <row r="72" spans="1:4" ht="20.25">
      <c r="A72" s="62"/>
      <c r="B72" s="21"/>
      <c r="C72" s="30"/>
      <c r="D72" s="30"/>
    </row>
    <row r="73" spans="1:4" ht="20.25">
      <c r="A73" s="62"/>
      <c r="B73" s="21"/>
      <c r="C73" s="30"/>
      <c r="D73" s="30"/>
    </row>
    <row r="74" spans="1:4" ht="20.25">
      <c r="A74" s="62"/>
      <c r="B74" s="21"/>
      <c r="C74" s="30"/>
      <c r="D74" s="30"/>
    </row>
    <row r="75" spans="1:4" ht="20.25">
      <c r="A75" s="62"/>
      <c r="B75" s="21"/>
      <c r="C75" s="30"/>
      <c r="D75" s="30"/>
    </row>
    <row r="76" spans="1:4" ht="20.25">
      <c r="A76" s="62"/>
      <c r="B76" s="21"/>
      <c r="C76" s="30"/>
      <c r="D76" s="30"/>
    </row>
    <row r="77" spans="1:4" ht="20.25">
      <c r="A77" s="62"/>
      <c r="B77" s="21"/>
      <c r="C77" s="30"/>
      <c r="D77" s="30"/>
    </row>
    <row r="78" spans="1:4" ht="20.25">
      <c r="A78" s="62"/>
      <c r="B78" s="21"/>
      <c r="C78" s="30"/>
      <c r="D78" s="30"/>
    </row>
    <row r="79" spans="1:4" ht="20.25">
      <c r="A79" s="62"/>
      <c r="B79" s="21"/>
      <c r="C79" s="30"/>
      <c r="D79" s="30"/>
    </row>
    <row r="80" spans="1:4" ht="20.25">
      <c r="A80" s="62"/>
      <c r="B80" s="21"/>
      <c r="C80" s="30"/>
      <c r="D80" s="30"/>
    </row>
    <row r="81" spans="1:4" ht="20.25">
      <c r="A81" s="62"/>
      <c r="B81" s="21"/>
      <c r="C81" s="30"/>
      <c r="D81" s="30"/>
    </row>
    <row r="82" spans="1:4" ht="20.25">
      <c r="A82" s="62"/>
      <c r="B82" s="21"/>
      <c r="C82" s="30"/>
      <c r="D82" s="30"/>
    </row>
    <row r="83" spans="1:4" ht="20.25">
      <c r="A83" s="62"/>
      <c r="B83" s="21"/>
      <c r="C83" s="30"/>
      <c r="D83" s="30"/>
    </row>
    <row r="84" spans="1:4" ht="20.25">
      <c r="A84" s="62"/>
      <c r="B84" s="21"/>
      <c r="C84" s="30"/>
      <c r="D84" s="30"/>
    </row>
    <row r="85" spans="1:4" ht="20.25">
      <c r="A85" s="62"/>
      <c r="B85" s="21"/>
      <c r="C85" s="30"/>
      <c r="D85" s="30"/>
    </row>
    <row r="86" spans="1:4" ht="20.25">
      <c r="A86" s="62"/>
      <c r="B86" s="21"/>
      <c r="C86" s="30"/>
      <c r="D86" s="30"/>
    </row>
    <row r="87" spans="1:4" ht="20.25">
      <c r="A87" s="62"/>
      <c r="B87" s="21"/>
      <c r="C87" s="30"/>
      <c r="D87" s="30"/>
    </row>
    <row r="88" spans="1:4" ht="20.25">
      <c r="A88" s="62"/>
      <c r="B88" s="21"/>
      <c r="C88" s="30"/>
      <c r="D88" s="30"/>
    </row>
    <row r="89" spans="1:4" ht="20.25">
      <c r="A89" s="62"/>
      <c r="B89" s="21"/>
      <c r="C89" s="30"/>
      <c r="D89" s="30"/>
    </row>
    <row r="90" spans="1:4" ht="20.25">
      <c r="A90" s="62"/>
      <c r="B90" s="21"/>
      <c r="C90" s="30"/>
      <c r="D90" s="30"/>
    </row>
    <row r="91" spans="1:4" ht="20.25">
      <c r="A91" s="62"/>
      <c r="B91" s="21"/>
      <c r="C91" s="30"/>
      <c r="D91" s="30"/>
    </row>
    <row r="92" spans="1:4" ht="20.25">
      <c r="A92" s="62"/>
      <c r="B92" s="21"/>
      <c r="C92" s="30"/>
      <c r="D92" s="30"/>
    </row>
    <row r="93" spans="1:4" ht="20.25">
      <c r="A93" s="62"/>
      <c r="B93" s="21"/>
      <c r="C93" s="30"/>
      <c r="D93" s="30"/>
    </row>
    <row r="94" spans="1:4" ht="20.25">
      <c r="A94" s="62"/>
      <c r="B94" s="21"/>
      <c r="C94" s="30"/>
      <c r="D94" s="30"/>
    </row>
    <row r="95" spans="1:4" ht="20.25">
      <c r="A95" s="62"/>
      <c r="B95" s="21"/>
      <c r="C95" s="30"/>
      <c r="D95" s="30"/>
    </row>
    <row r="96" spans="1:4" ht="20.25">
      <c r="A96" s="62"/>
      <c r="B96" s="21"/>
      <c r="C96" s="30"/>
      <c r="D96" s="30"/>
    </row>
    <row r="97" spans="1:4" ht="20.25">
      <c r="A97" s="62"/>
      <c r="B97" s="21"/>
      <c r="C97" s="30"/>
      <c r="D97" s="30"/>
    </row>
    <row r="98" spans="1:4" ht="20.25">
      <c r="A98" s="62"/>
      <c r="B98" s="21"/>
      <c r="C98" s="30"/>
      <c r="D98" s="30"/>
    </row>
    <row r="99" spans="1:4" ht="20.25">
      <c r="A99" s="62"/>
      <c r="B99" s="21"/>
      <c r="C99" s="30"/>
      <c r="D99" s="30"/>
    </row>
    <row r="100" spans="1:4" ht="20.25">
      <c r="A100" s="62"/>
      <c r="B100" s="21"/>
      <c r="C100" s="30"/>
      <c r="D100" s="30"/>
    </row>
    <row r="101" spans="1:4" ht="20.25">
      <c r="A101" s="62"/>
      <c r="B101" s="21"/>
      <c r="C101" s="30"/>
      <c r="D101" s="30"/>
    </row>
    <row r="102" spans="1:4" ht="20.25">
      <c r="A102" s="62"/>
      <c r="B102" s="21"/>
      <c r="C102" s="30"/>
      <c r="D102" s="30"/>
    </row>
    <row r="103" spans="1:4" ht="20.25">
      <c r="A103" s="62"/>
      <c r="B103" s="21"/>
      <c r="C103" s="30"/>
      <c r="D103" s="30"/>
    </row>
    <row r="104" spans="1:4" ht="20.25">
      <c r="A104" s="62"/>
      <c r="B104" s="21"/>
      <c r="C104" s="30"/>
      <c r="D104" s="30"/>
    </row>
    <row r="105" spans="1:4" ht="20.25">
      <c r="A105" s="62"/>
      <c r="B105" s="21"/>
      <c r="C105" s="30"/>
      <c r="D105" s="30"/>
    </row>
    <row r="106" spans="1:4" ht="20.25">
      <c r="A106" s="62"/>
      <c r="B106" s="21"/>
      <c r="C106" s="30"/>
      <c r="D106" s="30"/>
    </row>
    <row r="107" spans="1:4" ht="20.25">
      <c r="A107" s="62"/>
      <c r="B107" s="21"/>
      <c r="C107" s="30"/>
      <c r="D107" s="30"/>
    </row>
    <row r="108" spans="1:4" ht="20.25">
      <c r="A108" s="62"/>
      <c r="B108" s="21"/>
      <c r="C108" s="30"/>
      <c r="D108" s="30"/>
    </row>
    <row r="109" spans="1:4" ht="20.25">
      <c r="A109" s="62"/>
      <c r="B109" s="21"/>
      <c r="C109" s="30"/>
      <c r="D109" s="30"/>
    </row>
    <row r="110" spans="1:4" ht="20.25">
      <c r="A110" s="62"/>
      <c r="B110" s="21"/>
      <c r="C110" s="30"/>
      <c r="D110" s="30"/>
    </row>
    <row r="111" spans="1:4" ht="20.25">
      <c r="A111" s="62"/>
      <c r="B111" s="21"/>
      <c r="C111" s="30"/>
      <c r="D111" s="30"/>
    </row>
    <row r="112" spans="1:4" ht="20.25">
      <c r="A112" s="62"/>
      <c r="B112" s="21"/>
      <c r="C112" s="30"/>
      <c r="D112" s="30"/>
    </row>
    <row r="113" spans="1:4" ht="20.25">
      <c r="A113" s="62"/>
      <c r="B113" s="21"/>
      <c r="C113" s="30"/>
      <c r="D113" s="30"/>
    </row>
    <row r="114" spans="1:4" ht="20.25">
      <c r="A114" s="62"/>
      <c r="B114" s="21"/>
      <c r="C114" s="30"/>
      <c r="D114" s="30"/>
    </row>
    <row r="115" spans="1:4" ht="20.25">
      <c r="A115" s="62"/>
      <c r="B115" s="21"/>
      <c r="C115" s="30"/>
      <c r="D115" s="30"/>
    </row>
    <row r="116" spans="1:4" ht="20.25">
      <c r="A116" s="62"/>
      <c r="B116" s="21"/>
      <c r="C116" s="30"/>
      <c r="D116" s="30"/>
    </row>
    <row r="117" spans="1:4" ht="20.25">
      <c r="A117" s="62"/>
      <c r="B117" s="21"/>
      <c r="C117" s="30"/>
      <c r="D117" s="30"/>
    </row>
    <row r="118" spans="1:4" ht="20.25">
      <c r="A118" s="62"/>
      <c r="B118" s="21"/>
      <c r="C118" s="30"/>
      <c r="D118" s="30"/>
    </row>
    <row r="119" spans="1:4" ht="20.25">
      <c r="A119" s="62"/>
      <c r="B119" s="21"/>
      <c r="C119" s="30"/>
      <c r="D119" s="30"/>
    </row>
    <row r="120" spans="1:4" ht="20.25">
      <c r="A120" s="62"/>
      <c r="B120" s="21"/>
      <c r="C120" s="30"/>
      <c r="D120" s="30"/>
    </row>
    <row r="121" spans="1:4" ht="20.25">
      <c r="A121" s="62"/>
      <c r="B121" s="21"/>
      <c r="C121" s="30"/>
      <c r="D121" s="30"/>
    </row>
    <row r="122" spans="1:4" ht="20.25">
      <c r="A122" s="62"/>
      <c r="B122" s="21"/>
      <c r="C122" s="30"/>
      <c r="D122" s="30"/>
    </row>
    <row r="123" spans="1:4" ht="20.25">
      <c r="A123" s="62"/>
      <c r="B123" s="21"/>
      <c r="C123" s="30"/>
      <c r="D123" s="30"/>
    </row>
    <row r="124" spans="1:4" ht="20.25">
      <c r="A124" s="62"/>
      <c r="B124" s="21"/>
      <c r="C124" s="30"/>
      <c r="D124" s="30"/>
    </row>
    <row r="125" spans="1:4" ht="20.25">
      <c r="A125" s="62"/>
      <c r="B125" s="21"/>
      <c r="C125" s="30"/>
      <c r="D125" s="30"/>
    </row>
    <row r="126" spans="1:4" ht="20.25">
      <c r="A126" s="62"/>
      <c r="B126" s="21"/>
      <c r="C126" s="30"/>
      <c r="D126" s="30"/>
    </row>
    <row r="127" spans="1:4" ht="20.25">
      <c r="A127" s="62"/>
      <c r="B127" s="21"/>
      <c r="C127" s="30"/>
      <c r="D127" s="30"/>
    </row>
    <row r="128" spans="1:4" ht="20.25">
      <c r="A128" s="62"/>
      <c r="B128" s="21"/>
      <c r="C128" s="30"/>
      <c r="D128" s="30"/>
    </row>
    <row r="129" spans="1:4" ht="20.25">
      <c r="A129" s="62"/>
      <c r="B129" s="21"/>
      <c r="C129" s="30"/>
      <c r="D129" s="30"/>
    </row>
    <row r="130" spans="1:4" ht="20.25">
      <c r="A130" s="62"/>
      <c r="B130" s="21"/>
      <c r="C130" s="30"/>
      <c r="D130" s="30"/>
    </row>
    <row r="131" spans="1:4" ht="20.25">
      <c r="A131" s="62"/>
      <c r="B131" s="21"/>
      <c r="C131" s="30"/>
      <c r="D131" s="30"/>
    </row>
    <row r="132" spans="1:4" ht="20.25">
      <c r="A132" s="62"/>
      <c r="B132" s="21"/>
      <c r="C132" s="30"/>
      <c r="D132" s="30"/>
    </row>
    <row r="133" spans="1:4" ht="20.25">
      <c r="A133" s="62"/>
      <c r="B133" s="21"/>
      <c r="C133" s="30"/>
      <c r="D133" s="30"/>
    </row>
    <row r="134" spans="1:4" ht="20.25">
      <c r="A134" s="62"/>
      <c r="B134" s="21"/>
      <c r="C134" s="30"/>
      <c r="D134" s="30"/>
    </row>
    <row r="135" spans="1:4" ht="20.25">
      <c r="A135" s="62"/>
      <c r="B135" s="21"/>
      <c r="C135" s="30"/>
      <c r="D135" s="30"/>
    </row>
    <row r="136" spans="1:4" ht="20.25">
      <c r="A136" s="62"/>
      <c r="B136" s="21"/>
      <c r="C136" s="30"/>
      <c r="D136" s="30"/>
    </row>
    <row r="137" spans="1:4" ht="20.25">
      <c r="A137" s="62"/>
      <c r="B137" s="21"/>
      <c r="C137" s="30"/>
      <c r="D137" s="30"/>
    </row>
    <row r="138" spans="1:4" ht="20.25">
      <c r="A138" s="62"/>
      <c r="B138" s="21"/>
      <c r="C138" s="30"/>
      <c r="D138" s="30"/>
    </row>
    <row r="139" spans="1:4" ht="20.25">
      <c r="A139" s="62"/>
      <c r="B139" s="21"/>
      <c r="C139" s="30"/>
      <c r="D139" s="30"/>
    </row>
    <row r="140" spans="1:4" ht="20.25">
      <c r="A140" s="62"/>
      <c r="B140" s="21"/>
      <c r="C140" s="30"/>
      <c r="D140" s="30"/>
    </row>
    <row r="141" spans="1:4" ht="20.25">
      <c r="A141" s="62"/>
      <c r="B141" s="21"/>
      <c r="C141" s="30"/>
      <c r="D141" s="30"/>
    </row>
    <row r="142" spans="1:4" ht="20.25">
      <c r="A142" s="62"/>
      <c r="B142" s="21"/>
      <c r="C142" s="30"/>
      <c r="D142" s="30"/>
    </row>
    <row r="143" spans="1:4" ht="20.25">
      <c r="A143" s="62"/>
      <c r="B143" s="21"/>
      <c r="C143" s="30"/>
      <c r="D143" s="30"/>
    </row>
    <row r="144" spans="1:4" ht="20.25">
      <c r="A144" s="62"/>
      <c r="B144" s="21"/>
      <c r="C144" s="30"/>
      <c r="D144" s="30"/>
    </row>
    <row r="145" spans="1:4" ht="20.25">
      <c r="A145" s="62"/>
      <c r="B145" s="21"/>
      <c r="C145" s="30"/>
      <c r="D145" s="30"/>
    </row>
    <row r="146" spans="1:4" ht="20.25">
      <c r="A146" s="62"/>
      <c r="B146" s="21"/>
      <c r="C146" s="30"/>
      <c r="D146" s="30"/>
    </row>
    <row r="147" spans="1:4" ht="20.25">
      <c r="A147" s="62"/>
      <c r="B147" s="21"/>
      <c r="C147" s="30"/>
      <c r="D147" s="30"/>
    </row>
    <row r="148" spans="1:4" ht="20.25">
      <c r="A148" s="62"/>
      <c r="B148" s="21"/>
      <c r="C148" s="30"/>
      <c r="D148" s="30"/>
    </row>
    <row r="149" spans="1:4" ht="20.25">
      <c r="A149" s="62"/>
      <c r="B149" s="21"/>
      <c r="C149" s="30"/>
      <c r="D149" s="30"/>
    </row>
    <row r="150" spans="1:4" ht="20.25">
      <c r="A150" s="62"/>
      <c r="B150" s="21"/>
      <c r="C150" s="30"/>
      <c r="D150" s="30"/>
    </row>
    <row r="151" spans="1:4" ht="20.25">
      <c r="A151" s="62"/>
      <c r="B151" s="21"/>
      <c r="C151" s="30"/>
      <c r="D151" s="30"/>
    </row>
    <row r="152" spans="1:4" ht="20.25">
      <c r="A152" s="62"/>
      <c r="B152" s="21"/>
      <c r="C152" s="30"/>
      <c r="D152" s="30"/>
    </row>
    <row r="153" spans="1:4" ht="20.25">
      <c r="A153" s="62"/>
      <c r="B153" s="21"/>
      <c r="C153" s="30"/>
      <c r="D153" s="30"/>
    </row>
    <row r="154" spans="1:4" ht="20.25">
      <c r="A154" s="62"/>
      <c r="B154" s="21"/>
      <c r="C154" s="30"/>
      <c r="D154" s="30"/>
    </row>
    <row r="155" spans="1:4" ht="20.25">
      <c r="A155" s="62"/>
      <c r="B155" s="21"/>
      <c r="C155" s="30"/>
      <c r="D155" s="30"/>
    </row>
    <row r="156" spans="1:4" ht="20.25">
      <c r="A156" s="62"/>
      <c r="B156" s="21"/>
      <c r="C156" s="30"/>
      <c r="D156" s="30"/>
    </row>
    <row r="157" spans="1:4" ht="20.25">
      <c r="A157" s="62"/>
      <c r="B157" s="21"/>
      <c r="C157" s="30"/>
      <c r="D157" s="30"/>
    </row>
    <row r="158" spans="1:4" ht="20.25">
      <c r="A158" s="62"/>
      <c r="B158" s="21"/>
      <c r="C158" s="30"/>
      <c r="D158" s="30"/>
    </row>
    <row r="159" spans="1:4" ht="20.25">
      <c r="A159" s="62"/>
      <c r="B159" s="21"/>
      <c r="C159" s="30"/>
      <c r="D159" s="30"/>
    </row>
    <row r="160" spans="1:4" ht="20.25">
      <c r="A160" s="62"/>
      <c r="B160" s="21"/>
      <c r="C160" s="30"/>
      <c r="D160" s="30"/>
    </row>
    <row r="161" spans="1:4" ht="20.25">
      <c r="A161" s="62"/>
      <c r="B161" s="21"/>
      <c r="C161" s="30"/>
      <c r="D161" s="30"/>
    </row>
    <row r="162" spans="1:4" ht="20.25">
      <c r="A162" s="62"/>
      <c r="B162" s="21"/>
      <c r="C162" s="30"/>
      <c r="D162" s="30"/>
    </row>
    <row r="163" spans="1:4" ht="20.25">
      <c r="A163" s="62"/>
      <c r="B163" s="21"/>
      <c r="C163" s="30"/>
      <c r="D163" s="30"/>
    </row>
    <row r="164" spans="1:4" ht="20.25">
      <c r="A164" s="62"/>
      <c r="B164" s="21"/>
      <c r="C164" s="30"/>
      <c r="D164" s="30"/>
    </row>
    <row r="165" spans="1:4" ht="20.25">
      <c r="A165" s="62"/>
      <c r="B165" s="21"/>
      <c r="C165" s="30"/>
      <c r="D165" s="30"/>
    </row>
    <row r="166" spans="1:4" ht="20.25">
      <c r="A166" s="62"/>
      <c r="B166" s="21"/>
      <c r="C166" s="30"/>
      <c r="D166" s="30"/>
    </row>
    <row r="167" spans="1:4" ht="20.25">
      <c r="A167" s="62"/>
      <c r="B167" s="21"/>
      <c r="C167" s="30"/>
      <c r="D167" s="30"/>
    </row>
    <row r="168" spans="1:4" ht="20.25">
      <c r="A168" s="62"/>
      <c r="B168" s="21"/>
      <c r="C168" s="30"/>
      <c r="D168" s="30"/>
    </row>
    <row r="169" spans="1:4" ht="20.25">
      <c r="A169" s="62"/>
      <c r="B169" s="21"/>
      <c r="C169" s="30"/>
      <c r="D169" s="30"/>
    </row>
    <row r="170" spans="1:4" ht="20.25">
      <c r="A170" s="62"/>
      <c r="B170" s="21"/>
      <c r="C170" s="30"/>
      <c r="D170" s="30"/>
    </row>
    <row r="171" spans="1:4" ht="20.25">
      <c r="A171" s="62"/>
      <c r="B171" s="21"/>
      <c r="C171" s="30"/>
      <c r="D171" s="30"/>
    </row>
    <row r="172" spans="1:4" ht="20.25">
      <c r="A172" s="62"/>
      <c r="B172" s="21"/>
      <c r="C172" s="30"/>
      <c r="D172" s="30"/>
    </row>
    <row r="173" spans="1:4" ht="20.25">
      <c r="A173" s="62"/>
      <c r="B173" s="21"/>
      <c r="C173" s="30"/>
      <c r="D173" s="30"/>
    </row>
    <row r="174" spans="1:4" ht="20.25">
      <c r="A174" s="62"/>
      <c r="B174" s="21"/>
      <c r="C174" s="30"/>
      <c r="D174" s="30"/>
    </row>
    <row r="175" spans="1:4" ht="20.25">
      <c r="A175" s="62"/>
      <c r="B175" s="21"/>
      <c r="C175" s="30"/>
      <c r="D175" s="30"/>
    </row>
    <row r="176" spans="1:4" ht="20.25">
      <c r="A176" s="62"/>
      <c r="B176" s="21"/>
      <c r="C176" s="30"/>
      <c r="D176" s="30"/>
    </row>
    <row r="177" spans="1:4" ht="20.25">
      <c r="A177" s="62"/>
      <c r="B177" s="21"/>
      <c r="C177" s="30"/>
      <c r="D177" s="30"/>
    </row>
    <row r="178" spans="1:4" ht="20.25">
      <c r="A178" s="62"/>
      <c r="B178" s="21"/>
      <c r="C178" s="30"/>
      <c r="D178" s="30"/>
    </row>
    <row r="179" spans="1:4" ht="20.25">
      <c r="A179" s="62"/>
      <c r="B179" s="21"/>
      <c r="C179" s="30"/>
      <c r="D179" s="30"/>
    </row>
    <row r="180" spans="1:4" ht="20.25">
      <c r="A180" s="62"/>
      <c r="B180" s="21"/>
      <c r="C180" s="30"/>
      <c r="D180" s="30"/>
    </row>
    <row r="181" spans="1:4" ht="20.25">
      <c r="A181" s="62"/>
      <c r="B181" s="21"/>
      <c r="C181" s="30"/>
      <c r="D181" s="30"/>
    </row>
    <row r="182" spans="1:4" ht="20.25">
      <c r="A182" s="62"/>
      <c r="B182" s="21"/>
      <c r="C182" s="30"/>
      <c r="D182" s="30"/>
    </row>
    <row r="183" spans="1:4" ht="20.25">
      <c r="A183" s="62"/>
      <c r="B183" s="21"/>
      <c r="C183" s="30"/>
      <c r="D183" s="30"/>
    </row>
    <row r="184" spans="1:4" ht="20.25">
      <c r="A184" s="62"/>
      <c r="B184" s="21"/>
      <c r="C184" s="30"/>
      <c r="D184" s="30"/>
    </row>
    <row r="185" spans="1:4" ht="20.25">
      <c r="A185" s="62"/>
      <c r="B185" s="21"/>
      <c r="C185" s="30"/>
      <c r="D185" s="30"/>
    </row>
    <row r="186" spans="1:4" ht="20.25">
      <c r="A186" s="62"/>
      <c r="B186" s="21"/>
      <c r="C186" s="30"/>
      <c r="D186" s="30"/>
    </row>
    <row r="187" spans="1:4" ht="20.25">
      <c r="A187" s="62"/>
      <c r="B187" s="21"/>
      <c r="C187" s="30"/>
      <c r="D187" s="30"/>
    </row>
    <row r="188" spans="1:4" ht="20.25">
      <c r="A188" s="62"/>
      <c r="B188" s="21"/>
      <c r="C188" s="30"/>
      <c r="D188" s="30"/>
    </row>
    <row r="189" spans="1:4" ht="20.25">
      <c r="A189" s="62"/>
      <c r="B189" s="21"/>
      <c r="C189" s="30"/>
      <c r="D189" s="30"/>
    </row>
    <row r="190" spans="1:4" ht="20.25">
      <c r="A190" s="62"/>
      <c r="B190" s="21"/>
      <c r="C190" s="30"/>
      <c r="D190" s="30"/>
    </row>
    <row r="191" spans="1:4" ht="20.25">
      <c r="A191" s="62"/>
      <c r="B191" s="21"/>
      <c r="C191" s="30"/>
      <c r="D191" s="30"/>
    </row>
    <row r="192" spans="1:4" ht="20.25">
      <c r="A192" s="62"/>
      <c r="B192" s="21"/>
      <c r="C192" s="30"/>
      <c r="D192" s="30"/>
    </row>
    <row r="193" spans="1:4" ht="20.25">
      <c r="A193" s="62"/>
      <c r="B193" s="21"/>
      <c r="C193" s="30"/>
      <c r="D193" s="30"/>
    </row>
    <row r="194" spans="1:4" ht="20.25">
      <c r="A194" s="62"/>
      <c r="B194" s="21"/>
      <c r="C194" s="30"/>
      <c r="D194" s="30"/>
    </row>
    <row r="195" spans="1:4" ht="20.25">
      <c r="A195" s="62"/>
      <c r="B195" s="21"/>
      <c r="C195" s="30"/>
      <c r="D195" s="30"/>
    </row>
    <row r="196" spans="1:4" ht="20.25">
      <c r="A196" s="62"/>
      <c r="B196" s="21"/>
      <c r="C196" s="30"/>
      <c r="D196" s="30"/>
    </row>
    <row r="197" spans="1:4" ht="20.25">
      <c r="A197" s="62"/>
      <c r="B197" s="21"/>
      <c r="C197" s="30"/>
      <c r="D197" s="30"/>
    </row>
    <row r="198" spans="1:4" ht="20.25">
      <c r="A198" s="62"/>
      <c r="B198" s="21"/>
      <c r="C198" s="30"/>
      <c r="D198" s="30"/>
    </row>
    <row r="199" spans="1:4" ht="20.25">
      <c r="A199" s="62"/>
      <c r="B199" s="21"/>
      <c r="C199" s="30"/>
      <c r="D199" s="30"/>
    </row>
    <row r="200" spans="1:4" ht="20.25">
      <c r="A200" s="62"/>
      <c r="B200" s="21"/>
      <c r="C200" s="30"/>
      <c r="D200" s="30"/>
    </row>
    <row r="201" spans="1:4" ht="20.25">
      <c r="A201" s="62"/>
      <c r="B201" s="21"/>
      <c r="C201" s="30"/>
      <c r="D201" s="30"/>
    </row>
    <row r="202" spans="1:4" ht="20.25">
      <c r="A202" s="62"/>
      <c r="B202" s="21"/>
      <c r="C202" s="30"/>
      <c r="D202" s="30"/>
    </row>
    <row r="203" spans="1:4" ht="20.25">
      <c r="A203" s="62"/>
      <c r="B203" s="21"/>
      <c r="C203" s="30"/>
      <c r="D203" s="30"/>
    </row>
    <row r="204" spans="1:4" ht="20.25">
      <c r="A204" s="62"/>
      <c r="B204" s="21"/>
      <c r="C204" s="30"/>
      <c r="D204" s="30"/>
    </row>
    <row r="205" spans="1:4" ht="20.25">
      <c r="A205" s="62"/>
      <c r="B205" s="21"/>
      <c r="C205" s="30"/>
      <c r="D205" s="30"/>
    </row>
    <row r="206" spans="1:4" ht="20.25">
      <c r="A206" s="62"/>
      <c r="B206" s="21"/>
      <c r="C206" s="30"/>
      <c r="D206" s="30"/>
    </row>
    <row r="207" spans="1:4" ht="20.25">
      <c r="A207" s="62"/>
      <c r="B207" s="21"/>
      <c r="C207" s="30"/>
      <c r="D207" s="30"/>
    </row>
    <row r="208" spans="1:4">
      <c r="A208" s="42"/>
      <c r="B208" s="21"/>
      <c r="C208" s="21"/>
      <c r="D208" s="21"/>
    </row>
    <row r="209" spans="1:8" ht="20.25">
      <c r="A209" s="42"/>
      <c r="B209" s="26" t="s">
        <v>648</v>
      </c>
      <c r="C209" s="26" t="s">
        <v>649</v>
      </c>
      <c r="D209" s="29" t="s">
        <v>648</v>
      </c>
      <c r="E209" s="29" t="s">
        <v>649</v>
      </c>
    </row>
    <row r="210" spans="1:8" ht="21">
      <c r="A210" s="42"/>
      <c r="B210" s="27" t="s">
        <v>650</v>
      </c>
      <c r="C210" s="27" t="s">
        <v>651</v>
      </c>
      <c r="D210" t="s">
        <v>650</v>
      </c>
      <c r="F210" t="str">
        <f>IF(NOT(ISBLANK(D210)),D210,IF(NOT(ISBLANK(E210)),"     "&amp;E210,FALSE))</f>
        <v>Afectación Económica o presupuestal</v>
      </c>
      <c r="G210" t="s">
        <v>650</v>
      </c>
      <c r="H210" t="str">
        <f>IF(NOT(ISERROR(MATCH(G210,_xlfn.ANCHORARRAY(B221),0))),F223&amp;"Por favor no seleccionar los criterios de impacto",G210)</f>
        <v>❌Por favor no seleccionar los criterios de impacto</v>
      </c>
    </row>
    <row r="211" spans="1:8" ht="21">
      <c r="A211" s="42"/>
      <c r="B211" s="27" t="s">
        <v>650</v>
      </c>
      <c r="C211" s="27" t="s">
        <v>628</v>
      </c>
      <c r="E211" t="s">
        <v>651</v>
      </c>
      <c r="F211" t="str">
        <f t="shared" ref="F211:F221" si="0">IF(NOT(ISBLANK(D211)),D211,IF(NOT(ISBLANK(E211)),"     "&amp;E211,FALSE))</f>
        <v xml:space="preserve">     Afectación menor a 10 SMLMV .</v>
      </c>
    </row>
    <row r="212" spans="1:8" ht="21">
      <c r="A212" s="42"/>
      <c r="B212" s="27" t="s">
        <v>650</v>
      </c>
      <c r="C212" s="27" t="s">
        <v>631</v>
      </c>
      <c r="E212" t="s">
        <v>628</v>
      </c>
      <c r="F212" t="str">
        <f t="shared" si="0"/>
        <v xml:space="preserve">     Entre 10 y 50 SMLMV </v>
      </c>
    </row>
    <row r="213" spans="1:8" ht="21">
      <c r="A213" s="42"/>
      <c r="B213" s="27" t="s">
        <v>650</v>
      </c>
      <c r="C213" s="27" t="s">
        <v>635</v>
      </c>
      <c r="E213" t="s">
        <v>631</v>
      </c>
      <c r="F213" t="str">
        <f t="shared" si="0"/>
        <v xml:space="preserve">     Entre 50 y 100 SMLMV </v>
      </c>
    </row>
    <row r="214" spans="1:8" ht="21">
      <c r="A214" s="42"/>
      <c r="B214" s="27" t="s">
        <v>650</v>
      </c>
      <c r="C214" s="27" t="s">
        <v>639</v>
      </c>
      <c r="E214" t="s">
        <v>635</v>
      </c>
      <c r="F214" t="str">
        <f t="shared" si="0"/>
        <v xml:space="preserve">     Entre 100 y 500 SMLMV </v>
      </c>
    </row>
    <row r="215" spans="1:8" ht="21">
      <c r="A215" s="42"/>
      <c r="B215" s="27" t="s">
        <v>622</v>
      </c>
      <c r="C215" s="27" t="s">
        <v>626</v>
      </c>
      <c r="E215" t="s">
        <v>639</v>
      </c>
      <c r="F215" t="str">
        <f t="shared" si="0"/>
        <v xml:space="preserve">     Mayor a 500 SMLMV </v>
      </c>
    </row>
    <row r="216" spans="1:8" ht="21">
      <c r="A216" s="42"/>
      <c r="B216" s="27" t="s">
        <v>622</v>
      </c>
      <c r="C216" s="27" t="s">
        <v>629</v>
      </c>
      <c r="D216" t="s">
        <v>622</v>
      </c>
      <c r="F216" t="str">
        <f t="shared" si="0"/>
        <v>Pérdida Reputacional</v>
      </c>
    </row>
    <row r="217" spans="1:8" ht="21">
      <c r="A217" s="42"/>
      <c r="B217" s="27" t="s">
        <v>622</v>
      </c>
      <c r="C217" s="27" t="s">
        <v>632</v>
      </c>
      <c r="E217" t="s">
        <v>626</v>
      </c>
      <c r="F217" t="str">
        <f t="shared" si="0"/>
        <v xml:space="preserve">     El riesgo afecta la imagen de alguna área de la organización</v>
      </c>
    </row>
    <row r="218" spans="1:8" ht="21">
      <c r="A218" s="42"/>
      <c r="B218" s="27" t="s">
        <v>622</v>
      </c>
      <c r="C218" s="27" t="s">
        <v>636</v>
      </c>
      <c r="E218" t="s">
        <v>629</v>
      </c>
      <c r="F218" t="str">
        <f t="shared" si="0"/>
        <v xml:space="preserve">     El riesgo afecta la imagen de la entidad internamente, de conocimiento general, nivel interno, de junta dircetiva y accionistas y/o de provedores</v>
      </c>
    </row>
    <row r="219" spans="1:8" ht="21">
      <c r="A219" s="42"/>
      <c r="B219" s="27" t="s">
        <v>622</v>
      </c>
      <c r="C219" s="27" t="s">
        <v>640</v>
      </c>
      <c r="E219" t="s">
        <v>632</v>
      </c>
      <c r="F219" t="str">
        <f t="shared" si="0"/>
        <v xml:space="preserve">     El riesgo afecta la imagen de la entidad con algunos usuarios de relevancia frente al logro de los objetivos</v>
      </c>
    </row>
    <row r="220" spans="1:8">
      <c r="A220" s="42"/>
      <c r="B220" s="28"/>
      <c r="C220" s="28"/>
      <c r="E220" t="s">
        <v>636</v>
      </c>
      <c r="F220" t="str">
        <f t="shared" si="0"/>
        <v xml:space="preserve">     El riesgo afecta la imagen de de la entidad con efecto publicitario sostenido a nivel de sector administrativo, nivel departamental o municipal</v>
      </c>
    </row>
    <row r="221" spans="1:8">
      <c r="A221" s="42"/>
      <c r="B221" s="28" t="str" cm="1">
        <f t="array" ref="B221:B223">_xlfn.UNIQUE(Tabla1[[#All],[Criterios]])</f>
        <v>Criterios</v>
      </c>
      <c r="C221" s="28"/>
      <c r="E221" t="s">
        <v>640</v>
      </c>
      <c r="F221" t="str">
        <f t="shared" si="0"/>
        <v xml:space="preserve">     El riesgo afecta la imagen de la entidad a nivel nacional, con efecto publicitarios sostenible a nivel país</v>
      </c>
    </row>
    <row r="222" spans="1:8">
      <c r="A222" s="42"/>
      <c r="B222" s="28" t="str">
        <v>Afectación Económica o presupuestal</v>
      </c>
      <c r="C222" s="28"/>
    </row>
    <row r="223" spans="1:8">
      <c r="B223" s="28" t="str">
        <v>Pérdida Reputacional</v>
      </c>
      <c r="C223" s="28"/>
      <c r="F223" s="31" t="s">
        <v>652</v>
      </c>
    </row>
    <row r="224" spans="1:8">
      <c r="B224" s="20"/>
      <c r="C224" s="20"/>
      <c r="F224" s="31" t="s">
        <v>653</v>
      </c>
    </row>
    <row r="225" spans="2:4">
      <c r="B225" s="20"/>
      <c r="C225" s="20"/>
    </row>
    <row r="226" spans="2:4">
      <c r="B226" s="20"/>
      <c r="C226" s="20"/>
    </row>
    <row r="227" spans="2:4">
      <c r="B227" s="20"/>
      <c r="C227" s="20"/>
      <c r="D227" s="20"/>
    </row>
    <row r="228" spans="2:4">
      <c r="B228" s="20"/>
      <c r="C228" s="20"/>
      <c r="D228" s="20"/>
    </row>
    <row r="229" spans="2:4">
      <c r="B229" s="20"/>
      <c r="C229" s="20"/>
      <c r="D229" s="20"/>
    </row>
    <row r="230" spans="2:4">
      <c r="B230" s="20"/>
      <c r="C230" s="20"/>
      <c r="D230" s="20"/>
    </row>
    <row r="231" spans="2:4">
      <c r="B231" s="20"/>
      <c r="C231" s="20"/>
      <c r="D231" s="20"/>
    </row>
    <row r="232" spans="2:4">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30"/>
  <sheetViews>
    <sheetView topLeftCell="A16" workbookViewId="0">
      <selection activeCell="E31" sqref="E31"/>
    </sheetView>
  </sheetViews>
  <sheetFormatPr defaultColWidth="14.28515625" defaultRowHeight="12.75"/>
  <cols>
    <col min="1" max="2" width="14.28515625" style="47"/>
    <col min="3" max="3" width="17" style="47" customWidth="1"/>
    <col min="4" max="4" width="14.28515625" style="47"/>
    <col min="5" max="5" width="46" style="47" customWidth="1"/>
    <col min="6" max="16384" width="14.28515625" style="47"/>
  </cols>
  <sheetData>
    <row r="1" spans="2:6" ht="24" customHeight="1" thickBot="1">
      <c r="B1" s="544" t="s">
        <v>654</v>
      </c>
      <c r="C1" s="545"/>
      <c r="D1" s="545"/>
      <c r="E1" s="545"/>
      <c r="F1" s="546"/>
    </row>
    <row r="2" spans="2:6" ht="16.5" thickBot="1">
      <c r="B2" s="48"/>
      <c r="C2" s="48"/>
      <c r="D2" s="48"/>
      <c r="E2" s="48"/>
      <c r="F2" s="48"/>
    </row>
    <row r="3" spans="2:6" ht="16.5" thickBot="1">
      <c r="B3" s="548" t="s">
        <v>655</v>
      </c>
      <c r="C3" s="549"/>
      <c r="D3" s="549"/>
      <c r="E3" s="60" t="s">
        <v>656</v>
      </c>
      <c r="F3" s="61" t="s">
        <v>657</v>
      </c>
    </row>
    <row r="4" spans="2:6" ht="31.5">
      <c r="B4" s="550" t="s">
        <v>658</v>
      </c>
      <c r="C4" s="552" t="s">
        <v>101</v>
      </c>
      <c r="D4" s="49" t="s">
        <v>119</v>
      </c>
      <c r="E4" s="50" t="s">
        <v>659</v>
      </c>
      <c r="F4" s="51">
        <v>0.25</v>
      </c>
    </row>
    <row r="5" spans="2:6" ht="47.25">
      <c r="B5" s="551"/>
      <c r="C5" s="553"/>
      <c r="D5" s="52" t="s">
        <v>660</v>
      </c>
      <c r="E5" s="53" t="s">
        <v>661</v>
      </c>
      <c r="F5" s="54">
        <v>0.15</v>
      </c>
    </row>
    <row r="6" spans="2:6" ht="47.25">
      <c r="B6" s="551"/>
      <c r="C6" s="553"/>
      <c r="D6" s="52" t="s">
        <v>341</v>
      </c>
      <c r="E6" s="53" t="s">
        <v>662</v>
      </c>
      <c r="F6" s="54">
        <v>0.1</v>
      </c>
    </row>
    <row r="7" spans="2:6" ht="63">
      <c r="B7" s="551"/>
      <c r="C7" s="553" t="s">
        <v>102</v>
      </c>
      <c r="D7" s="52" t="s">
        <v>154</v>
      </c>
      <c r="E7" s="53" t="s">
        <v>663</v>
      </c>
      <c r="F7" s="54">
        <v>0.25</v>
      </c>
    </row>
    <row r="8" spans="2:6" ht="31.5">
      <c r="B8" s="551"/>
      <c r="C8" s="553"/>
      <c r="D8" s="52" t="s">
        <v>120</v>
      </c>
      <c r="E8" s="53" t="s">
        <v>664</v>
      </c>
      <c r="F8" s="54">
        <v>0.15</v>
      </c>
    </row>
    <row r="9" spans="2:6" ht="47.25">
      <c r="B9" s="551" t="s">
        <v>665</v>
      </c>
      <c r="C9" s="553" t="s">
        <v>104</v>
      </c>
      <c r="D9" s="52" t="s">
        <v>121</v>
      </c>
      <c r="E9" s="53" t="s">
        <v>666</v>
      </c>
      <c r="F9" s="55" t="s">
        <v>667</v>
      </c>
    </row>
    <row r="10" spans="2:6" ht="63">
      <c r="B10" s="551"/>
      <c r="C10" s="553"/>
      <c r="D10" s="52" t="s">
        <v>230</v>
      </c>
      <c r="E10" s="53" t="s">
        <v>668</v>
      </c>
      <c r="F10" s="55" t="s">
        <v>667</v>
      </c>
    </row>
    <row r="11" spans="2:6" ht="47.25">
      <c r="B11" s="551"/>
      <c r="C11" s="553" t="s">
        <v>105</v>
      </c>
      <c r="D11" s="52" t="s">
        <v>122</v>
      </c>
      <c r="E11" s="53" t="s">
        <v>669</v>
      </c>
      <c r="F11" s="55" t="s">
        <v>667</v>
      </c>
    </row>
    <row r="12" spans="2:6" ht="47.25">
      <c r="B12" s="551"/>
      <c r="C12" s="553"/>
      <c r="D12" s="52" t="s">
        <v>155</v>
      </c>
      <c r="E12" s="53" t="s">
        <v>670</v>
      </c>
      <c r="F12" s="55" t="s">
        <v>667</v>
      </c>
    </row>
    <row r="13" spans="2:6" ht="31.5">
      <c r="B13" s="551"/>
      <c r="C13" s="553" t="s">
        <v>106</v>
      </c>
      <c r="D13" s="52" t="s">
        <v>123</v>
      </c>
      <c r="E13" s="53" t="s">
        <v>671</v>
      </c>
      <c r="F13" s="55" t="s">
        <v>667</v>
      </c>
    </row>
    <row r="14" spans="2:6" ht="32.25" thickBot="1">
      <c r="B14" s="554"/>
      <c r="C14" s="555"/>
      <c r="D14" s="56" t="s">
        <v>231</v>
      </c>
      <c r="E14" s="57" t="s">
        <v>672</v>
      </c>
      <c r="F14" s="58" t="s">
        <v>667</v>
      </c>
    </row>
    <row r="15" spans="2:6" ht="49.5" customHeight="1">
      <c r="B15" s="547" t="s">
        <v>673</v>
      </c>
      <c r="C15" s="547"/>
      <c r="D15" s="547"/>
      <c r="E15" s="547"/>
      <c r="F15" s="547"/>
    </row>
    <row r="16" spans="2:6" ht="27" customHeight="1">
      <c r="B16" s="59"/>
    </row>
    <row r="19" spans="4:6" ht="15">
      <c r="D19" t="s">
        <v>674</v>
      </c>
    </row>
    <row r="22" spans="4:6">
      <c r="D22" s="122">
        <v>0.6</v>
      </c>
    </row>
    <row r="23" spans="4:6">
      <c r="D23" s="122">
        <v>0.4</v>
      </c>
    </row>
    <row r="24" spans="4:6">
      <c r="D24" s="123">
        <f>+D22*D23</f>
        <v>0.24</v>
      </c>
    </row>
    <row r="25" spans="4:6">
      <c r="D25" s="122">
        <f>+D22-D24</f>
        <v>0.36</v>
      </c>
    </row>
    <row r="29" spans="4:6">
      <c r="D29" s="122">
        <v>0.6</v>
      </c>
      <c r="E29" s="122">
        <v>0.4</v>
      </c>
      <c r="F29" s="122">
        <f>D29*E29</f>
        <v>0.24</v>
      </c>
    </row>
    <row r="30" spans="4:6">
      <c r="D30" s="122">
        <f>D29-F29</f>
        <v>0.36</v>
      </c>
      <c r="F30" s="122">
        <f>E29*25%</f>
        <v>0.1</v>
      </c>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defaultColWidth="11.42578125" defaultRowHeight="15"/>
  <sheetData>
    <row r="2" spans="2:5">
      <c r="B2" t="s">
        <v>156</v>
      </c>
      <c r="E2" t="s">
        <v>675</v>
      </c>
    </row>
    <row r="3" spans="2:5">
      <c r="B3" t="s">
        <v>676</v>
      </c>
      <c r="E3" t="s">
        <v>111</v>
      </c>
    </row>
    <row r="4" spans="2:5">
      <c r="B4" t="s">
        <v>677</v>
      </c>
      <c r="E4" t="s">
        <v>148</v>
      </c>
    </row>
    <row r="5" spans="2:5">
      <c r="B5" t="s">
        <v>124</v>
      </c>
    </row>
    <row r="8" spans="2:5">
      <c r="B8" t="s">
        <v>678</v>
      </c>
    </row>
    <row r="9" spans="2:5">
      <c r="B9" t="s">
        <v>130</v>
      </c>
    </row>
    <row r="10" spans="2:5">
      <c r="B10" t="s">
        <v>145</v>
      </c>
    </row>
    <row r="13" spans="2:5">
      <c r="B13" t="s">
        <v>679</v>
      </c>
    </row>
    <row r="14" spans="2:5">
      <c r="B14" t="s">
        <v>116</v>
      </c>
    </row>
    <row r="15" spans="2:5">
      <c r="B15" t="s">
        <v>680</v>
      </c>
    </row>
    <row r="16" spans="2:5">
      <c r="B16" t="s">
        <v>681</v>
      </c>
    </row>
    <row r="17" spans="2:2">
      <c r="B17" t="s">
        <v>682</v>
      </c>
    </row>
    <row r="18" spans="2:2">
      <c r="B18" t="s">
        <v>683</v>
      </c>
    </row>
    <row r="19" spans="2:2">
      <c r="B19" t="s">
        <v>138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defaultColWidth="11.42578125" defaultRowHeight="12.75"/>
  <cols>
    <col min="1" max="1" width="32.85546875" style="7" customWidth="1"/>
    <col min="2" max="16384" width="11.42578125" style="7"/>
  </cols>
  <sheetData>
    <row r="3" spans="1:1">
      <c r="A3" s="8" t="s">
        <v>119</v>
      </c>
    </row>
    <row r="4" spans="1:1">
      <c r="A4" s="8" t="s">
        <v>660</v>
      </c>
    </row>
    <row r="5" spans="1:1">
      <c r="A5" s="8" t="s">
        <v>341</v>
      </c>
    </row>
    <row r="6" spans="1:1">
      <c r="A6" s="8" t="s">
        <v>154</v>
      </c>
    </row>
    <row r="7" spans="1:1">
      <c r="A7" s="8" t="s">
        <v>120</v>
      </c>
    </row>
    <row r="8" spans="1:1">
      <c r="A8" s="8" t="s">
        <v>121</v>
      </c>
    </row>
    <row r="9" spans="1:1">
      <c r="A9" s="8" t="s">
        <v>230</v>
      </c>
    </row>
    <row r="10" spans="1:1">
      <c r="A10" s="8" t="s">
        <v>122</v>
      </c>
    </row>
    <row r="11" spans="1:1">
      <c r="A11" s="8" t="s">
        <v>155</v>
      </c>
    </row>
    <row r="12" spans="1:1">
      <c r="A12" s="8" t="s">
        <v>684</v>
      </c>
    </row>
    <row r="13" spans="1:1">
      <c r="A13" s="8" t="s">
        <v>685</v>
      </c>
    </row>
    <row r="14" spans="1:1">
      <c r="A14" s="8" t="s">
        <v>686</v>
      </c>
    </row>
    <row r="16" spans="1:1">
      <c r="A16" s="8" t="s">
        <v>687</v>
      </c>
    </row>
    <row r="17" spans="1:1">
      <c r="A17" s="8" t="s">
        <v>156</v>
      </c>
    </row>
    <row r="18" spans="1:1">
      <c r="A18" s="8" t="s">
        <v>676</v>
      </c>
    </row>
    <row r="20" spans="1:1">
      <c r="A20" s="8" t="s">
        <v>130</v>
      </c>
    </row>
    <row r="21" spans="1:1">
      <c r="A21" s="8"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37F5471C07BE40AF83289C317FA591" ma:contentTypeVersion="11" ma:contentTypeDescription="Crear nuevo documento." ma:contentTypeScope="" ma:versionID="89bc77e4b457ba8b316b89015cea1272">
  <xsd:schema xmlns:xsd="http://www.w3.org/2001/XMLSchema" xmlns:xs="http://www.w3.org/2001/XMLSchema" xmlns:p="http://schemas.microsoft.com/office/2006/metadata/properties" xmlns:ns2="82aed51c-b53d-46c9-8588-aa41a89b535a" xmlns:ns3="d72b6ebf-4bd7-4f7e-9622-8d0e99f64428" targetNamespace="http://schemas.microsoft.com/office/2006/metadata/properties" ma:root="true" ma:fieldsID="7ffc42d4f8ffb0c0023d8899963a908a" ns2:_="" ns3:_="">
    <xsd:import namespace="82aed51c-b53d-46c9-8588-aa41a89b535a"/>
    <xsd:import namespace="d72b6ebf-4bd7-4f7e-9622-8d0e99f644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ed51c-b53d-46c9-8588-aa41a89b5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b6ebf-4bd7-4f7e-9622-8d0e99f644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b4d8073-6cbe-4aaa-9588-2a3a9b643a91}" ma:internalName="TaxCatchAll" ma:showField="CatchAllData" ma:web="d72b6ebf-4bd7-4f7e-9622-8d0e99f644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aed51c-b53d-46c9-8588-aa41a89b535a">
      <Terms xmlns="http://schemas.microsoft.com/office/infopath/2007/PartnerControls"/>
    </lcf76f155ced4ddcb4097134ff3c332f>
    <TaxCatchAll xmlns="d72b6ebf-4bd7-4f7e-9622-8d0e99f644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510804-39A4-4376-88BD-1748B8BB4813}"/>
</file>

<file path=customXml/itemProps2.xml><?xml version="1.0" encoding="utf-8"?>
<ds:datastoreItem xmlns:ds="http://schemas.openxmlformats.org/officeDocument/2006/customXml" ds:itemID="{3B41FF85-D1E5-4700-94B1-12D6E56BCA9E}"/>
</file>

<file path=customXml/itemProps3.xml><?xml version="1.0" encoding="utf-8"?>
<ds:datastoreItem xmlns:ds="http://schemas.openxmlformats.org/officeDocument/2006/customXml" ds:itemID="{99D59773-91B8-49B7-8553-0449BAC424FE}"/>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Johanna Catherine Laverde Moncada</cp:lastModifiedBy>
  <cp:revision/>
  <dcterms:created xsi:type="dcterms:W3CDTF">2020-03-24T23:12:47Z</dcterms:created>
  <dcterms:modified xsi:type="dcterms:W3CDTF">2022-12-29T21:01:53Z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0x010100A337F5471C07BE40AF83289C317FA591</vt:lpwstr>
  </property>
</Properties>
</file>