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https://365and-my.sharepoint.com/personal/andres_garcia_and_gov_co/Documents/Auditoria 27001/"/>
    </mc:Choice>
  </mc:AlternateContent>
  <xr:revisionPtr revIDLastSave="6" documentId="8_{47941C0E-4FC9-4950-8BB9-DB1C4802BD20}" xr6:coauthVersionLast="47" xr6:coauthVersionMax="47" xr10:uidLastSave="{72089ED8-A8B5-4E6D-91E8-0B2046385DBD}"/>
  <bookViews>
    <workbookView xWindow="-120" yWindow="-120" windowWidth="20730" windowHeight="11160" tabRatio="875" firstSheet="1" activeTab="1" xr2:uid="{00000000-000D-0000-FFFF-FFFF00000000}"/>
  </bookViews>
  <sheets>
    <sheet name="Riesgo-Vulne-Amenaza" sheetId="22" r:id="rId1"/>
    <sheet name="Intructivo" sheetId="20" r:id="rId2"/>
    <sheet name="Mapa final"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definedNames>
    <definedName name="_xlnm._FilterDatabase" localSheetId="2" hidden="1">'Mapa final'!$A$14:$KD$55</definedName>
    <definedName name="_xlnm._FilterDatabase" localSheetId="0" hidden="1">'Riesgo-Vulne-Amenaza'!$A$4:$J$97</definedName>
  </definedNames>
  <calcPr calcId="191028"/>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6" i="18" l="1"/>
  <c r="T36" i="1" l="1"/>
  <c r="AB55" i="1"/>
  <c r="Y55" i="1"/>
  <c r="T55" i="1"/>
  <c r="U55" i="1" s="1"/>
  <c r="P55" i="1"/>
  <c r="Q55" i="1" s="1"/>
  <c r="AB54" i="1"/>
  <c r="Y54" i="1"/>
  <c r="P54" i="1"/>
  <c r="Q54" i="1" s="1"/>
  <c r="AF54" i="1" l="1"/>
  <c r="AG54" i="1" s="1"/>
  <c r="V55" i="1"/>
  <c r="T54" i="1"/>
  <c r="V54" i="1" s="1"/>
  <c r="AJ55" i="1"/>
  <c r="AI55" i="1" s="1"/>
  <c r="AF55" i="1"/>
  <c r="AH54" i="1" l="1"/>
  <c r="U54" i="1"/>
  <c r="AJ54" i="1" s="1"/>
  <c r="AI54" i="1" s="1"/>
  <c r="AK54" i="1" s="1"/>
  <c r="AH55" i="1"/>
  <c r="AG55" i="1"/>
  <c r="AK55" i="1" s="1"/>
  <c r="S15" i="1" l="1"/>
  <c r="AB15" i="1"/>
  <c r="Y15" i="1"/>
  <c r="S53" i="1"/>
  <c r="T53" i="1" s="1"/>
  <c r="U53" i="1" s="1"/>
  <c r="P53" i="1"/>
  <c r="S52" i="1"/>
  <c r="T52" i="1" s="1"/>
  <c r="U52" i="1" s="1"/>
  <c r="P52" i="1"/>
  <c r="AB53" i="1"/>
  <c r="Y53" i="1"/>
  <c r="AB52" i="1"/>
  <c r="Y52" i="1"/>
  <c r="S51" i="1"/>
  <c r="T51" i="1" s="1"/>
  <c r="S50" i="1"/>
  <c r="T50" i="1" s="1"/>
  <c r="P50" i="1"/>
  <c r="Q50" i="1" s="1"/>
  <c r="P51" i="1"/>
  <c r="Q51" i="1" s="1"/>
  <c r="S47" i="1"/>
  <c r="T47" i="1" s="1"/>
  <c r="U47" i="1" s="1"/>
  <c r="S46" i="1"/>
  <c r="T46" i="1" s="1"/>
  <c r="AB47" i="1"/>
  <c r="Y47" i="1"/>
  <c r="P47" i="1"/>
  <c r="AB46" i="1"/>
  <c r="Y46" i="1"/>
  <c r="P46" i="1"/>
  <c r="Q46" i="1" s="1"/>
  <c r="S45" i="1"/>
  <c r="T45" i="1" s="1"/>
  <c r="U45" i="1" s="1"/>
  <c r="AB45" i="1"/>
  <c r="Y45" i="1"/>
  <c r="P45" i="1"/>
  <c r="AB44" i="1"/>
  <c r="Y44" i="1"/>
  <c r="S44" i="1"/>
  <c r="T44" i="1" s="1"/>
  <c r="U44" i="1" s="1"/>
  <c r="P44" i="1"/>
  <c r="AB43" i="1"/>
  <c r="Y43" i="1"/>
  <c r="T43" i="1"/>
  <c r="P43" i="1"/>
  <c r="Q43" i="1" s="1"/>
  <c r="P42" i="1"/>
  <c r="Q42" i="1" s="1"/>
  <c r="P41" i="1"/>
  <c r="Q41" i="1" s="1"/>
  <c r="AB40" i="1"/>
  <c r="Y40" i="1"/>
  <c r="S40" i="1"/>
  <c r="T40" i="1" s="1"/>
  <c r="U40" i="1" s="1"/>
  <c r="P40" i="1"/>
  <c r="AB39" i="1"/>
  <c r="Y39" i="1"/>
  <c r="S39" i="1"/>
  <c r="T39" i="1" s="1"/>
  <c r="P39" i="1"/>
  <c r="Q39" i="1" s="1"/>
  <c r="T38" i="1"/>
  <c r="U38" i="1" s="1"/>
  <c r="T37" i="1"/>
  <c r="U37" i="1" s="1"/>
  <c r="AB38" i="1"/>
  <c r="Y38" i="1"/>
  <c r="P38" i="1"/>
  <c r="AB37" i="1"/>
  <c r="Y37" i="1"/>
  <c r="P37" i="1"/>
  <c r="Q37" i="1" s="1"/>
  <c r="V53" i="1" l="1"/>
  <c r="Q53" i="1"/>
  <c r="AF53" i="1" s="1"/>
  <c r="V52" i="1"/>
  <c r="Q52" i="1"/>
  <c r="AF52" i="1" s="1"/>
  <c r="AJ52" i="1"/>
  <c r="AI52" i="1" s="1"/>
  <c r="AJ53" i="1"/>
  <c r="AI53" i="1" s="1"/>
  <c r="V51" i="1"/>
  <c r="U51" i="1"/>
  <c r="V50" i="1"/>
  <c r="U50" i="1"/>
  <c r="AF46" i="1"/>
  <c r="V47" i="1"/>
  <c r="U46" i="1"/>
  <c r="AJ46" i="1" s="1"/>
  <c r="AI46" i="1" s="1"/>
  <c r="V46" i="1"/>
  <c r="AJ47" i="1"/>
  <c r="AI47" i="1" s="1"/>
  <c r="Q47" i="1"/>
  <c r="AF47" i="1" s="1"/>
  <c r="V45" i="1"/>
  <c r="AJ45" i="1"/>
  <c r="AI45" i="1" s="1"/>
  <c r="Q45" i="1"/>
  <c r="AF45" i="1" s="1"/>
  <c r="AF43" i="1"/>
  <c r="V43" i="1"/>
  <c r="U43" i="1"/>
  <c r="AJ43" i="1" s="1"/>
  <c r="AI43" i="1" s="1"/>
  <c r="V44" i="1"/>
  <c r="Q44" i="1"/>
  <c r="AF44" i="1" s="1"/>
  <c r="AJ44" i="1"/>
  <c r="AI44" i="1" s="1"/>
  <c r="V39" i="1"/>
  <c r="U39" i="1"/>
  <c r="AJ39" i="1" s="1"/>
  <c r="AI39" i="1" s="1"/>
  <c r="AF39" i="1"/>
  <c r="V40" i="1"/>
  <c r="AJ40" i="1"/>
  <c r="AI40" i="1" s="1"/>
  <c r="Q40" i="1"/>
  <c r="AF40" i="1" s="1"/>
  <c r="V38" i="1"/>
  <c r="AF37" i="1"/>
  <c r="AJ38" i="1"/>
  <c r="AI38" i="1" s="1"/>
  <c r="V37" i="1"/>
  <c r="AJ37" i="1"/>
  <c r="AI37" i="1" s="1"/>
  <c r="Q38" i="1"/>
  <c r="AF38" i="1" s="1"/>
  <c r="P36" i="1"/>
  <c r="AB35" i="1"/>
  <c r="Y35" i="1"/>
  <c r="T35" i="1"/>
  <c r="U35" i="1" s="1"/>
  <c r="P35" i="1"/>
  <c r="AB34" i="1"/>
  <c r="Y34" i="1"/>
  <c r="T34" i="1"/>
  <c r="P34" i="1"/>
  <c r="Q34" i="1" s="1"/>
  <c r="S31" i="1"/>
  <c r="T31" i="1" s="1"/>
  <c r="U31" i="1" s="1"/>
  <c r="P31" i="1"/>
  <c r="S28" i="1"/>
  <c r="T28" i="1" s="1"/>
  <c r="Q36" i="1" l="1"/>
  <c r="V36" i="1"/>
  <c r="AH53" i="1"/>
  <c r="AG53" i="1"/>
  <c r="AK53" i="1" s="1"/>
  <c r="AH52" i="1"/>
  <c r="AG52" i="1"/>
  <c r="AK52" i="1" s="1"/>
  <c r="AH47" i="1"/>
  <c r="AG47" i="1"/>
  <c r="AK47" i="1" s="1"/>
  <c r="AH46" i="1"/>
  <c r="AG46" i="1"/>
  <c r="AK46" i="1" s="1"/>
  <c r="AH45" i="1"/>
  <c r="AG45" i="1"/>
  <c r="AK45" i="1" s="1"/>
  <c r="AH44" i="1"/>
  <c r="AG44" i="1"/>
  <c r="AK44" i="1" s="1"/>
  <c r="AH43" i="1"/>
  <c r="AG43" i="1"/>
  <c r="AK43" i="1" s="1"/>
  <c r="AH40" i="1"/>
  <c r="AG40" i="1"/>
  <c r="AK40" i="1" s="1"/>
  <c r="AH39" i="1"/>
  <c r="AG39" i="1"/>
  <c r="AK39" i="1" s="1"/>
  <c r="AH38" i="1"/>
  <c r="AG38" i="1"/>
  <c r="AK38" i="1" s="1"/>
  <c r="AH37" i="1"/>
  <c r="AG37" i="1"/>
  <c r="AK37" i="1" s="1"/>
  <c r="V35" i="1"/>
  <c r="V34" i="1"/>
  <c r="U34" i="1"/>
  <c r="AJ34" i="1" s="1"/>
  <c r="AI34" i="1" s="1"/>
  <c r="AF34" i="1"/>
  <c r="AJ35" i="1"/>
  <c r="AI35" i="1" s="1"/>
  <c r="Q35" i="1"/>
  <c r="AF35" i="1" s="1"/>
  <c r="V31" i="1"/>
  <c r="Q31" i="1"/>
  <c r="AH35" i="1" l="1"/>
  <c r="AG35" i="1"/>
  <c r="AK35" i="1" s="1"/>
  <c r="AH34" i="1"/>
  <c r="AG34" i="1"/>
  <c r="AK34" i="1" s="1"/>
  <c r="AB49" i="1" l="1"/>
  <c r="Y49" i="1"/>
  <c r="P49" i="1"/>
  <c r="AB48" i="1"/>
  <c r="Y48" i="1"/>
  <c r="P48" i="1"/>
  <c r="P33" i="1"/>
  <c r="Q33" i="1" s="1"/>
  <c r="P32" i="1"/>
  <c r="AB30" i="1"/>
  <c r="Y30" i="1"/>
  <c r="P30" i="1"/>
  <c r="AB29" i="1"/>
  <c r="Y29" i="1"/>
  <c r="P29" i="1"/>
  <c r="AB28" i="1"/>
  <c r="Y28" i="1"/>
  <c r="U28" i="1"/>
  <c r="P28" i="1"/>
  <c r="AB27" i="1"/>
  <c r="Y27" i="1"/>
  <c r="P27" i="1"/>
  <c r="AB26" i="1"/>
  <c r="Y26" i="1"/>
  <c r="P26" i="1"/>
  <c r="AB25" i="1"/>
  <c r="Y25" i="1"/>
  <c r="P25" i="1"/>
  <c r="AB24" i="1"/>
  <c r="Y24" i="1"/>
  <c r="P24" i="1"/>
  <c r="AB23" i="1"/>
  <c r="Y23" i="1"/>
  <c r="P23" i="1"/>
  <c r="AB22" i="1"/>
  <c r="Y22" i="1"/>
  <c r="P22" i="1"/>
  <c r="AB21" i="1"/>
  <c r="Y21" i="1"/>
  <c r="P21" i="1"/>
  <c r="AB20" i="1"/>
  <c r="Y20" i="1"/>
  <c r="P20" i="1"/>
  <c r="AB19" i="1"/>
  <c r="Y19" i="1"/>
  <c r="P19" i="1"/>
  <c r="AB18" i="1"/>
  <c r="Y18" i="1"/>
  <c r="P18" i="1"/>
  <c r="AB17" i="1"/>
  <c r="Y17" i="1"/>
  <c r="P17" i="1"/>
  <c r="Q48" i="1" l="1"/>
  <c r="AF48" i="1" s="1"/>
  <c r="Q49" i="1"/>
  <c r="AF49" i="1" s="1"/>
  <c r="Q32" i="1"/>
  <c r="Q29" i="1"/>
  <c r="AF29" i="1" s="1"/>
  <c r="Q30" i="1"/>
  <c r="AF30" i="1" s="1"/>
  <c r="Q23" i="1"/>
  <c r="AF23" i="1" s="1"/>
  <c r="Q24" i="1"/>
  <c r="AF24" i="1" s="1"/>
  <c r="Q25" i="1"/>
  <c r="AF25" i="1" s="1"/>
  <c r="Q26" i="1"/>
  <c r="AF26" i="1" s="1"/>
  <c r="Q27" i="1"/>
  <c r="AF27" i="1" s="1"/>
  <c r="V28" i="1"/>
  <c r="Q28" i="1"/>
  <c r="AF28" i="1" s="1"/>
  <c r="AJ28" i="1"/>
  <c r="AI28" i="1" s="1"/>
  <c r="Q22" i="1"/>
  <c r="AF22" i="1" s="1"/>
  <c r="Q17" i="1"/>
  <c r="AF17" i="1" s="1"/>
  <c r="Q18" i="1"/>
  <c r="AF18" i="1" s="1"/>
  <c r="Q19" i="1"/>
  <c r="AF19" i="1" s="1"/>
  <c r="Q20" i="1"/>
  <c r="AF20" i="1" s="1"/>
  <c r="Q21" i="1"/>
  <c r="AF21" i="1" s="1"/>
  <c r="AB16" i="1"/>
  <c r="Y16" i="1"/>
  <c r="AH49" i="1" l="1"/>
  <c r="AG49" i="1"/>
  <c r="AH48" i="1"/>
  <c r="AG48" i="1"/>
  <c r="AH30" i="1"/>
  <c r="AG30" i="1"/>
  <c r="AH29" i="1"/>
  <c r="AG29" i="1"/>
  <c r="AH28" i="1"/>
  <c r="AG28" i="1"/>
  <c r="AK28" i="1" s="1"/>
  <c r="AH27" i="1"/>
  <c r="AG27" i="1"/>
  <c r="AH26" i="1"/>
  <c r="AG26" i="1"/>
  <c r="AH25" i="1"/>
  <c r="AG25" i="1"/>
  <c r="AH24" i="1"/>
  <c r="AG24" i="1"/>
  <c r="AH23" i="1"/>
  <c r="AG23" i="1"/>
  <c r="AH22" i="1"/>
  <c r="AG22" i="1"/>
  <c r="AH21" i="1"/>
  <c r="AG21" i="1"/>
  <c r="AH20" i="1"/>
  <c r="AG20" i="1"/>
  <c r="AH19" i="1"/>
  <c r="AG19" i="1"/>
  <c r="AH18" i="1"/>
  <c r="AG18" i="1"/>
  <c r="AH17" i="1"/>
  <c r="AG17" i="1"/>
  <c r="P16" i="1"/>
  <c r="P15" i="1"/>
  <c r="Q16" i="1" l="1"/>
  <c r="AF16" i="1" s="1"/>
  <c r="Q15" i="1"/>
  <c r="AF15" i="1" s="1"/>
  <c r="AH15" i="1" l="1"/>
  <c r="AG15" i="1"/>
  <c r="AG16" i="1"/>
  <c r="AH16" i="1"/>
  <c r="F221" i="13" l="1"/>
  <c r="F211" i="13"/>
  <c r="F212" i="13"/>
  <c r="F213" i="13"/>
  <c r="F214" i="13"/>
  <c r="F215" i="13"/>
  <c r="F216" i="13"/>
  <c r="F217" i="13"/>
  <c r="F218" i="13"/>
  <c r="F219" i="13"/>
  <c r="F220" i="13"/>
  <c r="F210" i="13"/>
  <c r="B221" i="13" a="1"/>
  <c r="B221" i="13" l="1"/>
  <c r="S24" i="1" l="1"/>
  <c r="T24" i="1" s="1"/>
  <c r="S17" i="1"/>
  <c r="T17" i="1" s="1"/>
  <c r="S26" i="1"/>
  <c r="T26" i="1" s="1"/>
  <c r="T49" i="1"/>
  <c r="S29" i="1"/>
  <c r="T29" i="1" s="1"/>
  <c r="S27" i="1"/>
  <c r="T27" i="1" s="1"/>
  <c r="S23" i="1"/>
  <c r="T23" i="1" s="1"/>
  <c r="S20" i="1"/>
  <c r="T20" i="1" s="1"/>
  <c r="S18" i="1"/>
  <c r="T18" i="1" s="1"/>
  <c r="S25" i="1"/>
  <c r="T25" i="1" s="1"/>
  <c r="S22" i="1"/>
  <c r="T22" i="1" s="1"/>
  <c r="S21" i="1"/>
  <c r="T21" i="1" s="1"/>
  <c r="S19" i="1"/>
  <c r="T19" i="1" s="1"/>
  <c r="T48" i="1"/>
  <c r="S30" i="1"/>
  <c r="T30"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U30" i="1" l="1"/>
  <c r="AJ30" i="1" s="1"/>
  <c r="AI30" i="1" s="1"/>
  <c r="AK30" i="1" s="1"/>
  <c r="V30" i="1"/>
  <c r="U49" i="1"/>
  <c r="AJ49" i="1" s="1"/>
  <c r="AI49" i="1" s="1"/>
  <c r="AK49" i="1" s="1"/>
  <c r="V49" i="1"/>
  <c r="U18" i="1"/>
  <c r="AJ18" i="1" s="1"/>
  <c r="AI18" i="1" s="1"/>
  <c r="AK18" i="1" s="1"/>
  <c r="V18" i="1"/>
  <c r="U29" i="1"/>
  <c r="AJ29" i="1" s="1"/>
  <c r="AI29" i="1" s="1"/>
  <c r="AK29" i="1" s="1"/>
  <c r="V29" i="1"/>
  <c r="U25" i="1"/>
  <c r="AJ25" i="1" s="1"/>
  <c r="AI25" i="1" s="1"/>
  <c r="AK25" i="1" s="1"/>
  <c r="V25" i="1"/>
  <c r="U20" i="1"/>
  <c r="AJ20" i="1" s="1"/>
  <c r="AI20" i="1" s="1"/>
  <c r="AK20" i="1" s="1"/>
  <c r="V20" i="1"/>
  <c r="U19" i="1"/>
  <c r="AJ19" i="1" s="1"/>
  <c r="AI19" i="1" s="1"/>
  <c r="AK19" i="1" s="1"/>
  <c r="V19" i="1"/>
  <c r="U26" i="1"/>
  <c r="AJ26" i="1" s="1"/>
  <c r="AI26" i="1" s="1"/>
  <c r="AK26" i="1" s="1"/>
  <c r="V26" i="1"/>
  <c r="U21" i="1"/>
  <c r="AJ21" i="1" s="1"/>
  <c r="AI21" i="1" s="1"/>
  <c r="AK21" i="1" s="1"/>
  <c r="V21" i="1"/>
  <c r="U17" i="1"/>
  <c r="AJ17" i="1" s="1"/>
  <c r="AI17" i="1" s="1"/>
  <c r="AK17" i="1" s="1"/>
  <c r="V17" i="1"/>
  <c r="U48" i="1"/>
  <c r="AJ48" i="1" s="1"/>
  <c r="AI48" i="1" s="1"/>
  <c r="AK48" i="1" s="1"/>
  <c r="V48" i="1"/>
  <c r="U27" i="1"/>
  <c r="AJ27" i="1" s="1"/>
  <c r="AI27" i="1" s="1"/>
  <c r="AK27" i="1" s="1"/>
  <c r="V27" i="1"/>
  <c r="U22" i="1"/>
  <c r="AJ22" i="1" s="1"/>
  <c r="AI22" i="1" s="1"/>
  <c r="AK22" i="1" s="1"/>
  <c r="V22" i="1"/>
  <c r="U23" i="1"/>
  <c r="AJ23" i="1" s="1"/>
  <c r="AI23" i="1" s="1"/>
  <c r="AK23" i="1" s="1"/>
  <c r="V23" i="1"/>
  <c r="U24" i="1"/>
  <c r="AJ24" i="1" s="1"/>
  <c r="AI24" i="1" s="1"/>
  <c r="AK24" i="1" s="1"/>
  <c r="V24" i="1"/>
  <c r="T32" i="19"/>
  <c r="AF32" i="19" l="1"/>
  <c r="T52" i="19"/>
  <c r="AM22" i="19"/>
  <c r="AA42" i="19"/>
  <c r="O32" i="19"/>
  <c r="AF22" i="19"/>
  <c r="T22" i="19"/>
  <c r="AM42" i="19"/>
  <c r="AM12" i="19"/>
  <c r="T12" i="19"/>
  <c r="AA52" i="19"/>
  <c r="AF12" i="19"/>
  <c r="AA22" i="19"/>
  <c r="O22" i="19"/>
  <c r="AG52" i="19"/>
  <c r="U22" i="19"/>
  <c r="AF42" i="19"/>
  <c r="Z42" i="19"/>
  <c r="AL52" i="19"/>
  <c r="AL12" i="19"/>
  <c r="O52" i="19"/>
  <c r="O42" i="19"/>
  <c r="AM52" i="19"/>
  <c r="Z12" i="19"/>
  <c r="AL22" i="19"/>
  <c r="AL42" i="19"/>
  <c r="AG32" i="19"/>
  <c r="U52" i="19"/>
  <c r="AG42" i="19"/>
  <c r="U42" i="19"/>
  <c r="N42" i="19"/>
  <c r="N12" i="19"/>
  <c r="N52" i="19"/>
  <c r="O12" i="19"/>
  <c r="Z22" i="19"/>
  <c r="Z52" i="19"/>
  <c r="AM32" i="19"/>
  <c r="AA32" i="19"/>
  <c r="AG12" i="19"/>
  <c r="AF52" i="19"/>
  <c r="T42" i="19"/>
  <c r="AL32" i="19"/>
  <c r="AA12" i="19"/>
  <c r="AG22" i="19"/>
  <c r="U12" i="19"/>
  <c r="U32" i="19"/>
  <c r="Z32" i="19"/>
  <c r="N32" i="19"/>
  <c r="N22" i="19"/>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T15" i="1" l="1"/>
  <c r="U15" i="1" s="1"/>
  <c r="AJ15" i="1" s="1"/>
  <c r="AI15" i="1" s="1"/>
  <c r="AK15" i="1" s="1"/>
  <c r="S16" i="1"/>
  <c r="T16" i="1" s="1"/>
  <c r="V15" i="1" l="1"/>
  <c r="U16" i="1"/>
  <c r="AJ16" i="1" s="1"/>
  <c r="V16" i="1"/>
  <c r="O46" i="19"/>
  <c r="U36" i="19"/>
  <c r="AM16" i="19"/>
  <c r="AA6" i="19"/>
  <c r="U16" i="19"/>
  <c r="AA26" i="19"/>
  <c r="O16" i="19"/>
  <c r="AM46" i="19"/>
  <c r="AA36" i="19"/>
  <c r="AA16" i="19"/>
  <c r="AM26" i="19"/>
  <c r="AG26" i="19"/>
  <c r="AM36" i="19"/>
  <c r="AG16" i="19"/>
  <c r="U6" i="19"/>
  <c r="AG6" i="19"/>
  <c r="O36" i="19"/>
  <c r="AM6" i="19"/>
  <c r="AG36" i="19"/>
  <c r="O6" i="19"/>
  <c r="AG46" i="19"/>
  <c r="AA46" i="19"/>
  <c r="U26" i="19"/>
  <c r="U46" i="19"/>
  <c r="O26" i="19"/>
  <c r="W37" i="19"/>
  <c r="Q47" i="19"/>
  <c r="AI47" i="19"/>
  <c r="AC37" i="19"/>
  <c r="AC7" i="19"/>
  <c r="Q7" i="19"/>
  <c r="Q17" i="19"/>
  <c r="AI7" i="19"/>
  <c r="W7" i="19"/>
  <c r="Q27" i="19"/>
  <c r="AI37" i="19"/>
  <c r="W47" i="19"/>
  <c r="K27" i="19"/>
  <c r="W17" i="19"/>
  <c r="AI17" i="19"/>
  <c r="AC27" i="19"/>
  <c r="AC17" i="19"/>
  <c r="Q37" i="19"/>
  <c r="K17" i="19"/>
  <c r="W27" i="19"/>
  <c r="K47" i="19"/>
  <c r="AC47" i="19"/>
  <c r="K37" i="19"/>
  <c r="AI27" i="19"/>
  <c r="K7" i="19"/>
  <c r="AK46" i="19"/>
  <c r="AK16" i="19"/>
  <c r="M16" i="19"/>
  <c r="Y6" i="19"/>
  <c r="M46" i="19"/>
  <c r="S6" i="19"/>
  <c r="AE46" i="19"/>
  <c r="S36" i="19"/>
  <c r="M26" i="19"/>
  <c r="Y46" i="19"/>
  <c r="AK36" i="19"/>
  <c r="Y26" i="19"/>
  <c r="AE36" i="19"/>
  <c r="M36" i="19"/>
  <c r="AE16" i="19"/>
  <c r="S46" i="19"/>
  <c r="AK26" i="19"/>
  <c r="S26" i="19"/>
  <c r="AK6" i="19"/>
  <c r="Y16" i="19"/>
  <c r="M6" i="19"/>
  <c r="AE26" i="19"/>
  <c r="S16" i="19"/>
  <c r="AE6" i="19"/>
  <c r="Y36" i="19"/>
  <c r="AI6" i="19"/>
  <c r="K46" i="19"/>
  <c r="AI16" i="19"/>
  <c r="AI46" i="19"/>
  <c r="Q36" i="19"/>
  <c r="AC46" i="19"/>
  <c r="W6" i="19"/>
  <c r="W26" i="19"/>
  <c r="Q46" i="19"/>
  <c r="K26" i="19"/>
  <c r="AC26" i="19"/>
  <c r="W46" i="19"/>
  <c r="AC16" i="19"/>
  <c r="AI36" i="19"/>
  <c r="W16" i="19"/>
  <c r="AI26" i="19"/>
  <c r="K36" i="19"/>
  <c r="AC6" i="19"/>
  <c r="Q26" i="19"/>
  <c r="W36" i="19"/>
  <c r="Q6" i="19"/>
  <c r="AC36" i="19"/>
  <c r="K6" i="19"/>
  <c r="K16" i="19"/>
  <c r="Q16" i="19"/>
  <c r="V12" i="18"/>
  <c r="J20" i="18"/>
  <c r="V28" i="18"/>
  <c r="J44" i="18"/>
  <c r="AH44" i="18"/>
  <c r="AB28" i="18"/>
  <c r="P28" i="18"/>
  <c r="AH28" i="18"/>
  <c r="V36" i="18"/>
  <c r="P12" i="18"/>
  <c r="V20" i="18"/>
  <c r="AH20" i="18"/>
  <c r="AB20" i="18"/>
  <c r="P44" i="18"/>
  <c r="J28" i="18"/>
  <c r="AB12" i="18"/>
  <c r="P20" i="18"/>
  <c r="AB36" i="18"/>
  <c r="P36" i="18"/>
  <c r="J12" i="18"/>
  <c r="AB44" i="18"/>
  <c r="AH36" i="18"/>
  <c r="V44" i="18"/>
  <c r="J36" i="18"/>
  <c r="P14" i="18"/>
  <c r="J38" i="18"/>
  <c r="V22" i="18"/>
  <c r="V14" i="18"/>
  <c r="V6" i="18"/>
  <c r="J6" i="18"/>
  <c r="AH14" i="18"/>
  <c r="P30" i="18"/>
  <c r="AH38" i="18"/>
  <c r="AH22" i="18"/>
  <c r="J14" i="18"/>
  <c r="P6" i="18"/>
  <c r="AB38" i="18"/>
  <c r="AB22" i="18"/>
  <c r="P22" i="18"/>
  <c r="V30" i="18"/>
  <c r="AB30" i="18"/>
  <c r="AB14" i="18"/>
  <c r="AH30" i="18"/>
  <c r="J30" i="18"/>
  <c r="J22" i="18"/>
  <c r="P38" i="18"/>
  <c r="V38" i="18"/>
  <c r="AB6" i="18"/>
  <c r="AB10" i="18"/>
  <c r="J42" i="18"/>
  <c r="J18" i="18"/>
  <c r="P34" i="18"/>
  <c r="AB18" i="18"/>
  <c r="AH34" i="18"/>
  <c r="J26" i="18"/>
  <c r="P10" i="18"/>
  <c r="AH10" i="18"/>
  <c r="V34" i="18"/>
  <c r="P18" i="18"/>
  <c r="P42" i="18"/>
  <c r="AH42" i="18"/>
  <c r="V18" i="18"/>
  <c r="AB26" i="18"/>
  <c r="AB34" i="18"/>
  <c r="AH26" i="18"/>
  <c r="AB42" i="18"/>
  <c r="V26" i="18"/>
  <c r="AH18" i="18"/>
  <c r="V42" i="18"/>
  <c r="J34" i="18"/>
  <c r="P26" i="18"/>
  <c r="J10" i="18"/>
  <c r="V10" i="18"/>
  <c r="AF30" i="18"/>
  <c r="T14" i="18"/>
  <c r="Z22" i="18"/>
  <c r="AL38" i="18"/>
  <c r="T30" i="18"/>
  <c r="N14" i="18"/>
  <c r="T38" i="18"/>
  <c r="AL6" i="18"/>
  <c r="T22" i="18"/>
  <c r="Z14" i="18"/>
  <c r="AL14" i="18"/>
  <c r="Z38" i="18"/>
  <c r="N22" i="18"/>
  <c r="AF22" i="18"/>
  <c r="Z6" i="18"/>
  <c r="N6" i="18"/>
  <c r="AF6" i="18"/>
  <c r="AF14" i="18"/>
  <c r="AF38" i="18"/>
  <c r="N38" i="18"/>
  <c r="AL30" i="18"/>
  <c r="Z30" i="18"/>
  <c r="AL22" i="18"/>
  <c r="N30" i="18"/>
  <c r="T6" i="18"/>
  <c r="AD30" i="18"/>
  <c r="X6" i="18"/>
  <c r="AJ38" i="18"/>
  <c r="AJ30" i="18"/>
  <c r="AJ22" i="18"/>
  <c r="R22" i="18"/>
  <c r="X30" i="18"/>
  <c r="AJ6" i="18"/>
  <c r="L6" i="18"/>
  <c r="L38" i="18"/>
  <c r="R30" i="18"/>
  <c r="AD14" i="18"/>
  <c r="X22" i="18"/>
  <c r="L14" i="18"/>
  <c r="AD6" i="18"/>
  <c r="AD22" i="18"/>
  <c r="X38" i="18"/>
  <c r="L30" i="18"/>
  <c r="L22" i="18"/>
  <c r="R38" i="18"/>
  <c r="R6" i="18"/>
  <c r="AJ14" i="18"/>
  <c r="X14" i="18"/>
  <c r="R14" i="18"/>
  <c r="Z42" i="18"/>
  <c r="AF18" i="18"/>
  <c r="T18" i="18"/>
  <c r="Z26" i="18"/>
  <c r="AF34" i="18"/>
  <c r="AL34" i="18"/>
  <c r="AF42" i="18"/>
  <c r="N42" i="18"/>
  <c r="T10" i="18"/>
  <c r="Z18" i="18"/>
  <c r="AL10" i="18"/>
  <c r="AL42" i="18"/>
  <c r="AL26" i="18"/>
  <c r="AF26" i="18"/>
  <c r="N34" i="18"/>
  <c r="Z10" i="18"/>
  <c r="N18" i="18"/>
  <c r="AF10" i="18"/>
  <c r="T26" i="18"/>
  <c r="N26" i="18"/>
  <c r="T34" i="18"/>
  <c r="AL18" i="18"/>
  <c r="T42" i="18"/>
  <c r="N10" i="18"/>
  <c r="Z34" i="18"/>
  <c r="L16" i="18"/>
  <c r="R40" i="18"/>
  <c r="R24" i="18"/>
  <c r="L40" i="18"/>
  <c r="L8" i="18"/>
  <c r="X16" i="18"/>
  <c r="X32" i="18"/>
  <c r="R32" i="18"/>
  <c r="AJ40" i="18"/>
  <c r="AJ16" i="18"/>
  <c r="R16" i="18"/>
  <c r="R8" i="18"/>
  <c r="AD40" i="18"/>
  <c r="AD32" i="18"/>
  <c r="AJ32" i="18"/>
  <c r="AD24" i="18"/>
  <c r="AD8" i="18"/>
  <c r="L24" i="18"/>
  <c r="X40" i="18"/>
  <c r="X24" i="18"/>
  <c r="AJ8" i="18"/>
  <c r="AJ24" i="18"/>
  <c r="L32" i="18"/>
  <c r="AD16" i="18"/>
  <c r="X8" i="18"/>
  <c r="R34" i="18"/>
  <c r="X42" i="18"/>
  <c r="L34" i="18"/>
  <c r="AD34" i="18"/>
  <c r="AJ42" i="18"/>
  <c r="AD10" i="18"/>
  <c r="R10" i="18"/>
  <c r="R42" i="18"/>
  <c r="L42" i="18"/>
  <c r="X26" i="18"/>
  <c r="L26" i="18"/>
  <c r="AJ18" i="18"/>
  <c r="X18" i="18"/>
  <c r="AJ26" i="18"/>
  <c r="R18" i="18"/>
  <c r="X34" i="18"/>
  <c r="AJ10" i="18"/>
  <c r="AD26" i="18"/>
  <c r="AD42" i="18"/>
  <c r="AJ34" i="18"/>
  <c r="X10" i="18"/>
  <c r="R26" i="18"/>
  <c r="AD18" i="18"/>
  <c r="L10" i="18"/>
  <c r="L18" i="18"/>
  <c r="J40" i="18"/>
  <c r="J8" i="18"/>
  <c r="AB40" i="18"/>
  <c r="AB32" i="18"/>
  <c r="AH32" i="18"/>
  <c r="AB8" i="18"/>
  <c r="AB24" i="18"/>
  <c r="J16" i="18"/>
  <c r="J24" i="18"/>
  <c r="P32" i="18"/>
  <c r="J32" i="18"/>
  <c r="V24" i="18"/>
  <c r="P8" i="18"/>
  <c r="P24" i="18"/>
  <c r="P16" i="18"/>
  <c r="AH16" i="18"/>
  <c r="P40" i="18"/>
  <c r="V16" i="18"/>
  <c r="V32" i="18"/>
  <c r="V8" i="18"/>
  <c r="AB16" i="18"/>
  <c r="AH24" i="18"/>
  <c r="V40" i="18"/>
  <c r="AH8" i="18"/>
  <c r="AH40" i="18"/>
  <c r="N24" i="18"/>
  <c r="AF24" i="18"/>
  <c r="T32" i="18"/>
  <c r="AF32" i="18"/>
  <c r="AL32" i="18"/>
  <c r="Z40" i="18"/>
  <c r="N40" i="18"/>
  <c r="AL8" i="18"/>
  <c r="Z24" i="18"/>
  <c r="AF8" i="18"/>
  <c r="AL16" i="18"/>
  <c r="T24" i="18"/>
  <c r="AL24" i="18"/>
  <c r="AL40" i="18"/>
  <c r="Z16" i="18"/>
  <c r="T8" i="18"/>
  <c r="AF16" i="18"/>
  <c r="T16" i="18"/>
  <c r="AF40" i="18"/>
  <c r="Z32" i="18"/>
  <c r="N8" i="18"/>
  <c r="N32" i="18"/>
  <c r="N16" i="18"/>
  <c r="Z8" i="18"/>
  <c r="T40" i="18"/>
  <c r="AI16" i="1" l="1"/>
  <c r="AK16" i="1" s="1"/>
  <c r="AH7" i="19"/>
  <c r="V47" i="19"/>
  <c r="V7" i="19"/>
  <c r="P17" i="19"/>
  <c r="AB17" i="19"/>
  <c r="P7" i="19"/>
  <c r="P27" i="19"/>
  <c r="AB47" i="19"/>
  <c r="P47" i="19"/>
  <c r="J37" i="19"/>
  <c r="AH37" i="19"/>
  <c r="V17" i="19"/>
  <c r="J7" i="19"/>
  <c r="AH27" i="19"/>
  <c r="AH47" i="19"/>
  <c r="J47" i="19"/>
  <c r="AB27" i="19"/>
  <c r="AB37" i="19"/>
  <c r="V37" i="19"/>
  <c r="V27" i="19"/>
  <c r="J17" i="19"/>
  <c r="J27" i="19"/>
  <c r="AB7" i="19"/>
  <c r="P37" i="19"/>
  <c r="AH17" i="19"/>
  <c r="AL6" i="19"/>
  <c r="T26" i="19"/>
  <c r="T6" i="19"/>
  <c r="AL26" i="19"/>
  <c r="T36" i="19"/>
  <c r="AL16" i="19"/>
  <c r="AF6" i="19"/>
  <c r="AL36" i="19"/>
  <c r="Z46" i="19"/>
  <c r="AF36" i="19"/>
  <c r="Z36" i="19"/>
  <c r="AF16" i="19"/>
  <c r="T16" i="19"/>
  <c r="N46" i="19"/>
  <c r="AF26" i="19"/>
  <c r="AF46" i="19"/>
  <c r="N26" i="19"/>
  <c r="N36" i="19"/>
  <c r="N6" i="19"/>
  <c r="Z26" i="19"/>
  <c r="Z6" i="19"/>
  <c r="T46" i="19"/>
  <c r="Z16" i="19"/>
  <c r="AL46" i="19"/>
  <c r="N16" i="19"/>
  <c r="AD46" i="19"/>
  <c r="L46" i="19"/>
  <c r="R6" i="19"/>
  <c r="AD26" i="19"/>
  <c r="X26" i="19"/>
  <c r="L6" i="19"/>
  <c r="AJ36" i="19"/>
  <c r="X16" i="19"/>
  <c r="AD36" i="19"/>
  <c r="R26" i="19"/>
  <c r="X36" i="19"/>
  <c r="AD6" i="19"/>
  <c r="L36" i="19"/>
  <c r="X6" i="19"/>
  <c r="AJ6" i="19"/>
  <c r="L16" i="19"/>
  <c r="L26" i="19"/>
  <c r="R36" i="19"/>
  <c r="AD16" i="19"/>
  <c r="R16" i="19"/>
  <c r="AJ46" i="19"/>
  <c r="AJ26" i="19"/>
  <c r="R46" i="19"/>
  <c r="X46" i="19"/>
  <c r="AJ16" i="19"/>
  <c r="AH25" i="19"/>
  <c r="AB55" i="19"/>
  <c r="AH55" i="19"/>
  <c r="AB15" i="19"/>
  <c r="AB25" i="19"/>
  <c r="P15" i="19"/>
  <c r="P45" i="19"/>
  <c r="J45" i="19"/>
  <c r="V15" i="19"/>
  <c r="P25" i="19"/>
  <c r="J35" i="19"/>
  <c r="P35" i="19"/>
  <c r="V25" i="19"/>
  <c r="AH15" i="19"/>
  <c r="V45" i="19"/>
  <c r="V35" i="19"/>
  <c r="J15" i="19"/>
  <c r="J55" i="19"/>
  <c r="AB45" i="19"/>
  <c r="AH45" i="19"/>
  <c r="AH35" i="19"/>
  <c r="J25" i="19"/>
  <c r="V55" i="19"/>
  <c r="AB35" i="19"/>
  <c r="P55" i="19"/>
  <c r="V46" i="19"/>
  <c r="V16" i="19"/>
  <c r="AH46" i="19"/>
  <c r="V36" i="19"/>
  <c r="AB46" i="19"/>
  <c r="AB36" i="19"/>
  <c r="J6" i="19"/>
  <c r="AB6" i="19"/>
  <c r="P46" i="19"/>
  <c r="P36" i="19"/>
  <c r="AB26" i="19"/>
  <c r="J36" i="19"/>
  <c r="P16" i="19"/>
  <c r="V26" i="19"/>
  <c r="P6" i="19"/>
  <c r="AH36" i="19"/>
  <c r="AH6" i="19"/>
  <c r="P26" i="19"/>
  <c r="AH16" i="19"/>
  <c r="AB16" i="19"/>
  <c r="J26" i="19"/>
  <c r="AH26" i="19"/>
  <c r="V6" i="19"/>
  <c r="J16" i="19"/>
  <c r="J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<sst xmlns="http://schemas.openxmlformats.org/spreadsheetml/2006/main" count="1847" uniqueCount="633">
  <si>
    <t>RIESGOS - VULNERABILIDADES - AMENAZAS</t>
  </si>
  <si>
    <t>Riesgos</t>
  </si>
  <si>
    <t>Descripción</t>
  </si>
  <si>
    <t>Tipos</t>
  </si>
  <si>
    <t>Vulnerabilidades</t>
  </si>
  <si>
    <t>Amenazas</t>
  </si>
  <si>
    <t>Incumplimiento de las políticas de seguridad y privacidad de la información que atenten contra la disponibilidad, integridad y confidencialidad de la información</t>
  </si>
  <si>
    <t>Políticas o controles de seguridad y privacidad de la información no aplicados total o parcialmente por desconocimiento o actos intencionales.</t>
  </si>
  <si>
    <t>Información</t>
  </si>
  <si>
    <t>Desconocimiento o no aplicación de las políticas de seguridad y privacidad de la información</t>
  </si>
  <si>
    <t>Fallas humanas</t>
  </si>
  <si>
    <t>Información imprecisa o inexacta en las operaciones</t>
  </si>
  <si>
    <t xml:space="preserve">La información podría ser modificada o alterada sin autorización.
Se puede dar por alteración o cambios de la información (digital o electrónica) generada, recolectada, procesada o almacenada.
</t>
  </si>
  <si>
    <t>Manejo manual de la información</t>
  </si>
  <si>
    <t>Pérdida en la trazabilidad de las operaciones realizadas</t>
  </si>
  <si>
    <t>Las operaciones realizadas con la información no pueden rastrearse o no presenta claramente quién y qué se ha realizado con la misma.</t>
  </si>
  <si>
    <t>Ausencia de validación de autenticación de la información</t>
  </si>
  <si>
    <t xml:space="preserve">Indisponibilidad de la Información oportuna o de los sistemas para las operaciones </t>
  </si>
  <si>
    <t>La información no se encuentra disponible en el momento que se necesita para cumplir la operación o funciones propias en la Agencia.</t>
  </si>
  <si>
    <t>Ausencia de copias de respaldo o backups de la información</t>
  </si>
  <si>
    <t>Pérdida de información</t>
  </si>
  <si>
    <t>Retraso en la salida de información de los sistemas</t>
  </si>
  <si>
    <t>Falla en los sistemas</t>
  </si>
  <si>
    <t>Retraso en la entrega de información por parte del personal</t>
  </si>
  <si>
    <t>Fuga o acceso de información por personal no autorizado</t>
  </si>
  <si>
    <t>La información puede ser accedida por personal no autorizado por posible interceptación de tráfico en las redes, falla en los controles de acceso de los sistemas o instalaciones, o publicación sin autorización de la misma accidental o intencionalmente.</t>
  </si>
  <si>
    <t>Información sensible sin cifrado</t>
  </si>
  <si>
    <t>Hurto de información</t>
  </si>
  <si>
    <t>Ausencia o deficiencia en los sistemas de autenticación de los aplicativos</t>
  </si>
  <si>
    <t>Deficiencia en la autorización de permisos de la información</t>
  </si>
  <si>
    <t>Pérdida de la continuidad de los servicios u operaciones de la entidad</t>
  </si>
  <si>
    <t xml:space="preserve">La información no se encuentra disponible por ausencia o falla en los activos de información que hacen parte de los procesos u operaciones.
</t>
  </si>
  <si>
    <t>Hardware
(Equipos y Redes de Comunicación)</t>
  </si>
  <si>
    <t>Mantenimiento insuficiente/instalación fallida de los medios de almacenamiento</t>
  </si>
  <si>
    <t>Incumplimiento en el mantenimiento del sistema de información</t>
  </si>
  <si>
    <t>Pérdida de equipos y/o de información contenida en los mismos</t>
  </si>
  <si>
    <t>Extravío o no disponibilidad de equipos o información debido a un inadecuado tratamiento en el almacenamiento, disposición final, custodia o destrucción segura de los mismos.</t>
  </si>
  <si>
    <t>Ausencia de esquemas de reemplazo periódico</t>
  </si>
  <si>
    <t>Destrucción de equipos o de medios</t>
  </si>
  <si>
    <t>Falla en los dispositivos o equipos</t>
  </si>
  <si>
    <t>Las fallas en los equipos tecnológicos o redes de comunicación debido a agentes externos, ambientales, intencionales o no intencionales afectan la disponibilidad de la información para el desarrollo de las funciones y operaciones</t>
  </si>
  <si>
    <t>Susceptibilidad a la humedad, el polvo y la suciedad</t>
  </si>
  <si>
    <t>Polvo, corrosión, congelamiento</t>
  </si>
  <si>
    <t>Sensibilidad a la radiación electromagnética</t>
  </si>
  <si>
    <t>Radiación electromagnética</t>
  </si>
  <si>
    <t>Ausencia de un eficiente control de cambios en la configuración</t>
  </si>
  <si>
    <t>Error en el uso</t>
  </si>
  <si>
    <t>Susceptibilidad a la variaciones de voltaje</t>
  </si>
  <si>
    <t>Pérdida del suministro de energía</t>
  </si>
  <si>
    <t>Susceptibilidad a las variaciones de temperatura</t>
  </si>
  <si>
    <t>Fenómenos metereológicos</t>
  </si>
  <si>
    <t>Almacenamiento sin protección</t>
  </si>
  <si>
    <t>Hurto de medios o documentos</t>
  </si>
  <si>
    <t>Falta de cuidado en la disposición final</t>
  </si>
  <si>
    <t>Copia no controlada</t>
  </si>
  <si>
    <t>Ausencia de pruebas de envío o recepción de mensajes</t>
  </si>
  <si>
    <t>Negociación de acciones</t>
  </si>
  <si>
    <t>Líneas de comunicación sin protección</t>
  </si>
  <si>
    <t>Escucha encubierta</t>
  </si>
  <si>
    <t>Tráfico sensible sin protección</t>
  </si>
  <si>
    <t>Conexión deficiente de los cables</t>
  </si>
  <si>
    <t>Falla del equipo de telecomunicaciones</t>
  </si>
  <si>
    <t>Punto único de falla</t>
  </si>
  <si>
    <t>Elevación de privilegios y acceso no autorizado a la información</t>
  </si>
  <si>
    <t>Acceso indebido a los sistemas y/o información aprovechando las vulnerabilidades tecnológicas, ambientales y del recurso humano.</t>
  </si>
  <si>
    <t>Ausencia de identificación y autenticación de emisor y receptor</t>
  </si>
  <si>
    <t>Falsificación de derechos</t>
  </si>
  <si>
    <t>Arquitectura insegura de la red</t>
  </si>
  <si>
    <t>Espionaje remoto</t>
  </si>
  <si>
    <t>Transferencia de contraseñas en claro</t>
  </si>
  <si>
    <t>Gestión inadecuada de la red (Tolrancia a fallas en el enrutamiento)</t>
  </si>
  <si>
    <t>Saturación del sistema de información</t>
  </si>
  <si>
    <t>Conexiones de red pública sin protección</t>
  </si>
  <si>
    <t>Uso no autorizado del equipo</t>
  </si>
  <si>
    <t>Fallas o deficiencia del software</t>
  </si>
  <si>
    <t>Las fallas en los sistemas de información, aplicaciones o desarrollos tecnológicos o debido a prácticas inadecuadas del software, actos accidentales, intencionales o no intencionales afectan la disponibilidad de la información para el desarrollo de las funciones y operaciones</t>
  </si>
  <si>
    <t>Software</t>
  </si>
  <si>
    <t>Ausencia o insuficiencia de pruebas de software</t>
  </si>
  <si>
    <t>Abuso de los derechos</t>
  </si>
  <si>
    <t>Defectos bien conocidos en el software</t>
  </si>
  <si>
    <t>Ausencia de terminación de la sesión cuando se abandona la estación de trabajo</t>
  </si>
  <si>
    <t>Disposición o reutilización de los medios de almacenamiento sin borrado adecuado</t>
  </si>
  <si>
    <t>Ausencia de pistas de audotoría</t>
  </si>
  <si>
    <t>Asignación errada de los derechos de acceso</t>
  </si>
  <si>
    <t>Software ampliamente distribuido</t>
  </si>
  <si>
    <t>Corrupción de datos</t>
  </si>
  <si>
    <t>En términos de tiempo utilización de datos errados en los programas de aplicación</t>
  </si>
  <si>
    <t>Interfaz de usuario compleja</t>
  </si>
  <si>
    <t>Ausencia de documentación</t>
  </si>
  <si>
    <t xml:space="preserve">Configuración incorrecta de parámetros </t>
  </si>
  <si>
    <t>Fechas incorrectas</t>
  </si>
  <si>
    <t>Ausencia de mecanismo de identificación y autenticación, como la autenticación de usuario</t>
  </si>
  <si>
    <t>Tablas de contraseñas sin protección</t>
  </si>
  <si>
    <t>Gestión deficiente de las contraseñas</t>
  </si>
  <si>
    <t>Sanciones legales o económicas</t>
  </si>
  <si>
    <t>Incumplimiento de legislación aplicable o normatividad interna de la Agencia.</t>
  </si>
  <si>
    <t>Habilitación de servicios innecesarios</t>
  </si>
  <si>
    <t>Procesamiento ilegal de datos</t>
  </si>
  <si>
    <t>Software nuevo o inmaduro</t>
  </si>
  <si>
    <t>Mal funcionamiento del software</t>
  </si>
  <si>
    <t>Especificaciones incompletas o no claras para los desarrolladores</t>
  </si>
  <si>
    <t>Ausencia de control de cambios eficaz</t>
  </si>
  <si>
    <t>Descarga y uso no controlados de software</t>
  </si>
  <si>
    <t>Manipulación con software</t>
  </si>
  <si>
    <t>Ausencia de copias de respaldo</t>
  </si>
  <si>
    <t>fuga o acceso de información por personal no autorizado</t>
  </si>
  <si>
    <t>Ausencia de protección física de la edificación, puertas y ventanas</t>
  </si>
  <si>
    <t>Falla en la producción de informes de gestión</t>
  </si>
  <si>
    <t>Recurso Humano</t>
  </si>
  <si>
    <t>Ausencia del personal</t>
  </si>
  <si>
    <t>La información puede ser accedida por personal no autorizado</t>
  </si>
  <si>
    <t>Procedimientos inadecuados de contratación</t>
  </si>
  <si>
    <t>Destrucción de equipos o medios</t>
  </si>
  <si>
    <t>Deficiencias en tratamiento adecuado y seguro de la información</t>
  </si>
  <si>
    <t>Tratamiento inadecuado de la información por desconocimiento de políticas, controles y buenas prácticas de seguridad y privacidad de la información establecidas por la ADR por parte del personal.</t>
  </si>
  <si>
    <t>Entrenamiento insuficiente en seguridad</t>
  </si>
  <si>
    <t>Uso incorrecto de software y hardware</t>
  </si>
  <si>
    <t>Falla de conciencia acerca de la seguridad</t>
  </si>
  <si>
    <t>Ausencia de mecanismos de monitoreo</t>
  </si>
  <si>
    <t>Trabajo o supervisado del personal externo o de limpieza</t>
  </si>
  <si>
    <t>Ausencia de políticas para el uso correcto de los medios de telecomunicaciones y mensajería</t>
  </si>
  <si>
    <t>Infraestructura Física</t>
  </si>
  <si>
    <t>Uso inadecuado o descuidado del control de acceso físico a las edificaciones y los recintos</t>
  </si>
  <si>
    <t>Destrucción de equipo o medios</t>
  </si>
  <si>
    <t>Ubicación en un área susceptible de inundación</t>
  </si>
  <si>
    <t>Inundación</t>
  </si>
  <si>
    <t>Red energética Inestable</t>
  </si>
  <si>
    <t>Hurto de equipo</t>
  </si>
  <si>
    <t>Organizacionales</t>
  </si>
  <si>
    <t>Ausencia de procedimeinto formal para el registro y retiro de usuarios</t>
  </si>
  <si>
    <t>Ausencia de proceso formal para la revisión (supervisión) de los derechos de acceso</t>
  </si>
  <si>
    <t>Ausencia o insuficiencia de disposiciones (con respecto a la seguridad) en los contratos con los clientes y/o terceras partes</t>
  </si>
  <si>
    <t>Ausencia de procedimiento de monitoreo de los recursos de procesamiento de información</t>
  </si>
  <si>
    <t>Ausencia de auditorías (supervisiones) regulares</t>
  </si>
  <si>
    <t>Ausencia de procedimientos de identificación y valoración de riesgos</t>
  </si>
  <si>
    <t>Ausencia de reportes de fallas en los registros de administradores y operadores</t>
  </si>
  <si>
    <t>Respuesta inadecuada de mantenimiento de servicio</t>
  </si>
  <si>
    <t>Ausencia de acuerdos de nivel de servicio, o insuficiencia en los mismos</t>
  </si>
  <si>
    <t>Ausencia de procedimiento de control de cambios</t>
  </si>
  <si>
    <t>Ausencia de procedimiento formal para el control de la documentación del SGSI</t>
  </si>
  <si>
    <t>Ausencia de procedimiento formal para la supervisión del registro del SGSI</t>
  </si>
  <si>
    <t>Ausencia de procedimiento formal para la autorización de la información disponible al público</t>
  </si>
  <si>
    <t>Datos provenientes de fuentes no confiables</t>
  </si>
  <si>
    <t>Ausencia de asignación adecuada de responsabilidades en la seguridad de la información</t>
  </si>
  <si>
    <t>Negación de acciones</t>
  </si>
  <si>
    <t xml:space="preserve">Ausencia de planes de continuidad </t>
  </si>
  <si>
    <t>Falla del equipo</t>
  </si>
  <si>
    <t>Ausencia de políticas sobre el uso del correo electrónico</t>
  </si>
  <si>
    <t>Ausencia de procedimientos para la introducción del software en los sistemas operativos</t>
  </si>
  <si>
    <t>Ausencia de registros en las bitácoras (logs) de administrador operario</t>
  </si>
  <si>
    <t>Ausencia de procedimientos para el manejo de información clasificada</t>
  </si>
  <si>
    <t>Ausencia de responsabilidades en la seguridad de la información en la descripción de los cargos</t>
  </si>
  <si>
    <t>Sanciones disciplinarias inadecuadas</t>
  </si>
  <si>
    <t>Inconsistencia o fallas en el tratamiento de sanciones sobre los incidentes del software</t>
  </si>
  <si>
    <t xml:space="preserve">Ausencia de procesos disciplinarios definidos en el caso de incidentes de seguridad de la información </t>
  </si>
  <si>
    <t>Ausencia de política formal sobre la utilización de computadores portátiles</t>
  </si>
  <si>
    <t>Ausencia de control de los activos que se encuentra fuera de las instalaciones</t>
  </si>
  <si>
    <t>Ausencia o insuficiencia de política sobre limpieza de escritorio y de pantalla</t>
  </si>
  <si>
    <t xml:space="preserve">Ausencia de autorización de los recursos de procesamiento de la información </t>
  </si>
  <si>
    <t>Ausencia de mecanismos de monitoreo establecidos para las brechas en la seguridad</t>
  </si>
  <si>
    <t>Ausencia de revisiones regulares por parte de la gerencia</t>
  </si>
  <si>
    <t>Ausencia de procedimientos para la presentación de informes sobre las debilidades en la seguridad</t>
  </si>
  <si>
    <t>Ausencia de procedimientos del cumplimeinto de las disposiciones con los derechos intelectuales</t>
  </si>
  <si>
    <t>Uso de software falso o copiado</t>
  </si>
  <si>
    <t>TIPOS DE AMENAZAS</t>
  </si>
  <si>
    <t>Tipo</t>
  </si>
  <si>
    <t>Daño físico</t>
  </si>
  <si>
    <t>Fuego</t>
  </si>
  <si>
    <t>Daño por agua</t>
  </si>
  <si>
    <t>Contaminación</t>
  </si>
  <si>
    <t>Accidente importante</t>
  </si>
  <si>
    <t>Destrucción del equipo o los medios</t>
  </si>
  <si>
    <t>Eventos naturales</t>
  </si>
  <si>
    <t>Fenómenos climáticos</t>
  </si>
  <si>
    <t>Fenómenos sísmicos</t>
  </si>
  <si>
    <t>Fenómenos volcánicos</t>
  </si>
  <si>
    <t>Fenómentos metereológicos</t>
  </si>
  <si>
    <t>Pérdida de los servicios esenciales</t>
  </si>
  <si>
    <t>Falla en el sistema de suministro de agua o de aire acondicionado</t>
  </si>
  <si>
    <t>Pérdida de suministro de energía</t>
  </si>
  <si>
    <t>Falla en el equipo de telecomunicaciones</t>
  </si>
  <si>
    <t>Perturbación debida a la radiación</t>
  </si>
  <si>
    <t>Radiación térmica</t>
  </si>
  <si>
    <t>Impulsos electromagnéticos</t>
  </si>
  <si>
    <t>Compromiso de la información</t>
  </si>
  <si>
    <t>Interceptación de señales de interferencia comprometedoras</t>
  </si>
  <si>
    <t>Recuperación de medios reciclados o desechados</t>
  </si>
  <si>
    <t>Divulgación</t>
  </si>
  <si>
    <t>Manipulación con hardware</t>
  </si>
  <si>
    <t>Detección de la posición</t>
  </si>
  <si>
    <t>Fallas técnicas</t>
  </si>
  <si>
    <t>Mal funcionamiento del equipo</t>
  </si>
  <si>
    <t>Acciones no autorizadas</t>
  </si>
  <si>
    <t>Copia fraudulenta del software</t>
  </si>
  <si>
    <t>Uso de Software falso o copiado</t>
  </si>
  <si>
    <t>Corrupcción de los datos</t>
  </si>
  <si>
    <t>Procesarmiento ilegal de los datos</t>
  </si>
  <si>
    <t>Compromiso de la funciones</t>
  </si>
  <si>
    <t>Abuso de derechos</t>
  </si>
  <si>
    <t>Negacion de acciones</t>
  </si>
  <si>
    <t>Incumplimiento en la disponibilidad del personal</t>
  </si>
  <si>
    <t>FUENTES DE AMENAZAS</t>
  </si>
  <si>
    <t>Fuente de amenaza</t>
  </si>
  <si>
    <t>Motivación</t>
  </si>
  <si>
    <t>Acciones amenazantes</t>
  </si>
  <si>
    <t>Pirata informático</t>
  </si>
  <si>
    <t>Reto</t>
  </si>
  <si>
    <t>Piratería
Ingeniería social
Instrusión, acceso forzados al sistema
Acceso no autorizado al sistema</t>
  </si>
  <si>
    <t>Ego</t>
  </si>
  <si>
    <t>Rebelión</t>
  </si>
  <si>
    <t>Estatus</t>
  </si>
  <si>
    <t>Dinero</t>
  </si>
  <si>
    <t>Criminal de la computación</t>
  </si>
  <si>
    <t>Destrucción de información</t>
  </si>
  <si>
    <t>Crimen por computador (Ej. Espionaje cibernético)
Acto fraudulento (Ej. Repetición, personificacion, interceptación)
Soborno de la información
Suplantación de identidad
Intrucción en el sistema</t>
  </si>
  <si>
    <t>Divulgación ilegal de información</t>
  </si>
  <si>
    <t>Ganancia monetaria</t>
  </si>
  <si>
    <t>Alteración no autorizada de los datos</t>
  </si>
  <si>
    <t>Terrorismo</t>
  </si>
  <si>
    <t xml:space="preserve">Chantaje </t>
  </si>
  <si>
    <t>Bomba/terrorismo
Guerra de la información (warfare)
Ataques contra el sistema  (Ej. Negación distribuida del servicio)
Penetración en el sistema
Manipulación del sistema</t>
  </si>
  <si>
    <t>Destrucción</t>
  </si>
  <si>
    <t>Explotación</t>
  </si>
  <si>
    <t>Venganza</t>
  </si>
  <si>
    <t>Ganancia política</t>
  </si>
  <si>
    <t>Cubrimiento de medios de comunicación</t>
  </si>
  <si>
    <t>Ventaja competitiva</t>
  </si>
  <si>
    <t>Ventaja de defensa
Ventaja Política
Explotación económica
Hurto de información
Instrusión en la privacidad personal
Ingeniería social
Penetración en el sistema
Acceso no autorizado al sistema (acceso a información clasificada, de propiedad y/o relacionada con la tecnología)</t>
  </si>
  <si>
    <t>Espionaje económico</t>
  </si>
  <si>
    <t>Intrusos (empleados con entremiento deficiente, descontentos, malintencionados, negligentes, deshonestos o despedidos)</t>
  </si>
  <si>
    <t>Curiosidad</t>
  </si>
  <si>
    <t xml:space="preserve">Asalto a un empleado
Chantage
Observar información reservada
Uso inadecuado del computador
Fraude y hurto
Soborno de información
Ingreso de datos falsos o corruptos
Interceptación
Código malicioso do (Ej. Virus, bomba lógica, troyano)
Venta de infromación personal
Errores en el sistema (busgs)
Instrucción al sistema
Sabotaje del sistema
Acceso no autorizado al sistema
</t>
  </si>
  <si>
    <t>Inteligencia</t>
  </si>
  <si>
    <t>Errores y omisiones no intencionales, por ejemplo, error en el ingreso de los datos, error de programación.</t>
  </si>
  <si>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</si>
  <si>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</si>
  <si>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</si>
  <si>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</si>
  <si>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</si>
  <si>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</si>
  <si>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</si>
  <si>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</si>
  <si>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</si>
  <si>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</si>
  <si>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</si>
  <si>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</si>
  <si>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</si>
  <si>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</si>
  <si>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</si>
  <si>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</si>
  <si>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</si>
  <si>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</si>
  <si>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</si>
  <si>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</si>
  <si>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</si>
  <si>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</si>
  <si>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</si>
  <si>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</si>
  <si>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</si>
  <si>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</si>
  <si>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</si>
  <si>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</si>
  <si>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</si>
  <si>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</si>
  <si>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</si>
  <si>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</si>
  <si>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</si>
  <si>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</si>
  <si>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</si>
  <si>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</si>
  <si>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</si>
  <si>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</si>
  <si>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</si>
  <si>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</si>
  <si>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</si>
  <si>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</si>
  <si>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</si>
  <si>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</si>
  <si>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</si>
  <si>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</si>
  <si>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</si>
  <si>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</si>
  <si>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</si>
  <si>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</si>
  <si>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</si>
  <si>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</si>
  <si>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</si>
  <si>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</si>
  <si>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</si>
  <si>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</si>
  <si>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</si>
  <si>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</si>
  <si>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</si>
  <si>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</si>
  <si>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Para diferenciar los tipos de riesgos se genera la siguiente codificación para diligenciar la columna con nombre "Referencia":</t>
  </si>
  <si>
    <t>Riesgos de Seguridad de la Información: S1, S2, etc.</t>
  </si>
  <si>
    <t>Riesgos de Gestión : G1, G2, etc</t>
  </si>
  <si>
    <t>Proceso: Direccionamiento Estratégico</t>
  </si>
  <si>
    <t>Formato Mapa de Riesgos</t>
  </si>
  <si>
    <t>Versión: 2</t>
  </si>
  <si>
    <t>SM.FT.05</t>
  </si>
  <si>
    <t>Fuente:  Adaptado de la Dirección de Gestión y Desempeño Institucional de Función Pública, 2020.</t>
  </si>
  <si>
    <t xml:space="preserve">Formato Mapa Riesgos </t>
  </si>
  <si>
    <t>Identificación del riesgo</t>
  </si>
  <si>
    <t>Análisis del riesgo inherente</t>
  </si>
  <si>
    <t>Evaluación del riesgo - Valoración de los controles</t>
  </si>
  <si>
    <t>Evaluación del riesgo - Nivel del riesgo residual</t>
  </si>
  <si>
    <t>Plan de Acción</t>
  </si>
  <si>
    <t xml:space="preserve">Referencia </t>
  </si>
  <si>
    <t>Proceso /
Proyecto</t>
  </si>
  <si>
    <t>Objetivo del Proceso / Proyecto</t>
  </si>
  <si>
    <t>Tipo de Riesgo</t>
  </si>
  <si>
    <t>Causa Raíz/Vulnerabilidad (para riesgos de Seguridad Digital)</t>
  </si>
  <si>
    <t>SOLO PARA RIESGOS DE SEGURIDAD DIGITAL</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</si>
  <si>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</si>
  <si>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</si>
  <si>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</si>
  <si>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</si>
  <si>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</si>
  <si>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</si>
  <si>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</si>
  <si>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</si>
  <si>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</si>
  <si>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</si>
  <si>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</si>
  <si>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</si>
  <si>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</si>
  <si>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</si>
  <si>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</si>
  <si>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 (Periodicidad)</t>
  </si>
  <si>
    <t>Seguimiento</t>
  </si>
  <si>
    <t>Indicador</t>
  </si>
  <si>
    <t>Dueño del Riesgo</t>
  </si>
  <si>
    <t>El Riesgo inherente de seguridad digital se asocia a:
(Confidencialidad, Integridad y Disponibilidad)</t>
  </si>
  <si>
    <t>Tipo de Activo</t>
  </si>
  <si>
    <t>Activo
(Seguridad de la Información /Digital)</t>
  </si>
  <si>
    <t>Amenaza
(Seguridad de la Información /Digital)</t>
  </si>
  <si>
    <t>Implementación</t>
  </si>
  <si>
    <t>Calificación</t>
  </si>
  <si>
    <t>Documentación</t>
  </si>
  <si>
    <t>Frecuencia</t>
  </si>
  <si>
    <t>Evidencia</t>
  </si>
  <si>
    <t>1S</t>
  </si>
  <si>
    <t>Direccionamiento Estratégico</t>
  </si>
  <si>
    <t>Definir las políticas y lineamientos institucionales que permitan dar cumplimiento a la misión y objetivos de la Agencia Nacional Digital, de acuerdo con la normatividad vigente.</t>
  </si>
  <si>
    <t>Líder del Proceso</t>
  </si>
  <si>
    <t>Riesgo de Seguridad Digital</t>
  </si>
  <si>
    <t>Económico y Reputacional</t>
  </si>
  <si>
    <t>1. Mala toma de toma de decisiones gerenciales
2. afectación a la reputación institucional
3. Sanciones disciplinarias por entrega de información errónea.
4. Incumplimiento en las normatividad de acuerdo a furag, política de gobierno digital.</t>
  </si>
  <si>
    <t>Ausencia de copias de respaldo o backup de la información</t>
  </si>
  <si>
    <r>
      <rPr>
        <b/>
        <sz val="11"/>
        <rFont val="Calibri"/>
        <family val="2"/>
        <scheme val="minor"/>
      </rPr>
      <t xml:space="preserve">Indisponibilidad de la Información oportuna o de los sistemas para las operaciones </t>
    </r>
    <r>
      <rPr>
        <sz val="11"/>
        <rFont val="Calibri"/>
        <family val="2"/>
        <scheme val="minor"/>
      </rPr>
      <t xml:space="preserve">
La información no se encuentra disponible en el momento que se necesita para cumplir la operación o funciones propias en la Agencia.
</t>
    </r>
  </si>
  <si>
    <t>Disponibilidad</t>
  </si>
  <si>
    <t>Información y datos de la entidad</t>
  </si>
  <si>
    <t>Perdida de información</t>
  </si>
  <si>
    <t>Ejecución y Administración de procesos</t>
  </si>
  <si>
    <t xml:space="preserve">     El riesgo afecta la imagen de alguna área de la organización</t>
  </si>
  <si>
    <t>C1</t>
  </si>
  <si>
    <r>
      <rPr>
        <b/>
        <sz val="10"/>
        <rFont val="Arial"/>
        <family val="2"/>
      </rPr>
      <t>A.12.3.1 Copia  de  seguridad  de  la  información</t>
    </r>
    <r>
      <rPr>
        <sz val="10"/>
        <rFont val="Arial"/>
        <family val="2"/>
      </rPr>
      <t xml:space="preserve">
  Las  copias  de  respaldo  de  la  información,  el  software  y  los  sistemas  deben  mantenerse  y  probarse  regularmente  de  acuerdo  con la  política  de  respaldo  específica  del  tema  acordada.  Para  permitir  la  recuperación  de  la  pérdida  de  datos  o  sistemas.
Repositorio de Informacion alienados al proceso con los documentos  planes, programas,  proyectos</t>
    </r>
  </si>
  <si>
    <t>Preventivo</t>
  </si>
  <si>
    <t>Manual</t>
  </si>
  <si>
    <t>Documentado</t>
  </si>
  <si>
    <t>Continua</t>
  </si>
  <si>
    <t>Con Registro</t>
  </si>
  <si>
    <t>Reducir (mitigar)</t>
  </si>
  <si>
    <t>Definir y gestionar la copias de respaldo y restauración de las mismas.</t>
  </si>
  <si>
    <t>Profesional Líder Planeación</t>
  </si>
  <si>
    <t>Anual</t>
  </si>
  <si>
    <t>Monitoreo de las bitácoras de copia de respaldo y restauración de la información</t>
  </si>
  <si>
    <t>Pendiente</t>
  </si>
  <si>
    <r>
      <rPr>
        <b/>
        <sz val="11"/>
        <rFont val="Calibri"/>
        <family val="2"/>
        <scheme val="minor"/>
      </rPr>
      <t>Fuga o acceso de información por personal no autorizado</t>
    </r>
    <r>
      <rPr>
        <sz val="11"/>
        <rFont val="Calibri"/>
        <family val="2"/>
        <scheme val="minor"/>
      </rPr>
      <t xml:space="preserve">
La información puede ser accedida por personal no autorizado por posible interceptación de tráfico en las redes, falla en los controles de acceso de los sistemas o instalaciones, o publicación sin autorización de la misma accidental o intencionalmente.</t>
    </r>
  </si>
  <si>
    <t>Integridad</t>
  </si>
  <si>
    <t xml:space="preserve">hurto o perdida de la información </t>
  </si>
  <si>
    <t>C7</t>
  </si>
  <si>
    <r>
      <rPr>
        <b/>
        <sz val="10"/>
        <rFont val="Arial"/>
        <family val="2"/>
      </rPr>
      <t xml:space="preserve">A.9.2.3  Derechos de acceso privilegiado
</t>
    </r>
    <r>
      <rPr>
        <sz val="10"/>
        <rFont val="Arial"/>
        <family val="2"/>
      </rPr>
      <t>La  asignación  y  el  uso  de  derechos  de  acceso  privilegiado  deben  restringirse  y  administrarse.;   Para  garantizar  que  solo  los  usuarios  autorizados,  los  componentes  y  servicios  de  software  reciban  derechos  de  acceso privilegiado.</t>
    </r>
  </si>
  <si>
    <t>Realizar la digitalización de la información alineada al proceso de direccionamiento estratégico con control de acceso para el procesamiento de la información.</t>
  </si>
  <si>
    <t>Monitoreo de la carpeta repositorio con la información alineada al proceso estratégico</t>
  </si>
  <si>
    <t>Comunicación Estratégica</t>
  </si>
  <si>
    <t>Diseñar las herramientas y estrategias de comunicación externa de la Entidad, con el propósito de lograr el posicionamiento y reconocimiento de la misma por parte de los grupos de interés, así como fortalecer la cultura organizacional e imagen corporativa de la Entidad a través de una comunicación interna participativa y dirigida a tolos los niveles de la Entidad.</t>
  </si>
  <si>
    <t>1.  Incumplimiento a los lineamientos dados por función publica de acuerdo a transparencia de la información. 
2. Afectación reputacional por demoras en los tiempos de respuesta.
3. Sanciones por incumplimiento a las respuestas a las PQRDS en los tiempos establecidos.</t>
  </si>
  <si>
    <r>
      <rPr>
        <b/>
        <sz val="11"/>
        <rFont val="Calibri"/>
        <family val="2"/>
        <scheme val="minor"/>
      </rPr>
      <t xml:space="preserve">Indisponibilidad de la Información oportuna o de los sistemas para las operaciones
</t>
    </r>
    <r>
      <rPr>
        <sz val="11"/>
        <rFont val="Calibri"/>
        <family val="2"/>
        <scheme val="minor"/>
      </rPr>
      <t xml:space="preserve">
La información no se encuentra disponible en el momento que se necesita para cumplir la operación o funciones propias en la Agencia.
</t>
    </r>
  </si>
  <si>
    <t xml:space="preserve">     El riesgo afecta la imagen de la entidad a nivel nacional, con efecto publicitarios sostenible a nivel país</t>
  </si>
  <si>
    <r>
      <rPr>
        <b/>
        <sz val="10"/>
        <rFont val="Arial"/>
        <family val="2"/>
      </rPr>
      <t>A.12.3.1 Copia  de  seguridad  de  la  información</t>
    </r>
    <r>
      <rPr>
        <sz val="10"/>
        <rFont val="Arial"/>
        <family val="2"/>
      </rPr>
      <t>;  Las  copias  de  respaldo  de  la  información,  el  software  y  los  sistemas  deben  mantenerse  y  probarse  regularmente  de  acuerdo  con la  política  de  respaldo  específica  del  tema  acordada.</t>
    </r>
  </si>
  <si>
    <t>Monitorear la bitácora de las copias de respaldo y restauración de las mismas.</t>
  </si>
  <si>
    <t>Profesional de Comunicaciones</t>
  </si>
  <si>
    <t>Mensual</t>
  </si>
  <si>
    <t>Se evidencia ubicación de la información del proceso en el repositorio autorizado por la AND como medio de respaldo.</t>
  </si>
  <si>
    <t xml:space="preserve">90
</t>
  </si>
  <si>
    <t>Fallas Humanas</t>
  </si>
  <si>
    <t xml:space="preserve">     El riesgo afecta la imagen de la entidad con algunos usuarios de relevancia frente al logro de los objetivos</t>
  </si>
  <si>
    <t>C2</t>
  </si>
  <si>
    <r>
      <rPr>
        <b/>
        <sz val="10"/>
        <rFont val="Arial"/>
        <family val="2"/>
      </rPr>
      <t>A.5.1.2</t>
    </r>
    <r>
      <rPr>
        <sz val="10"/>
        <rFont val="Arial"/>
        <family val="2"/>
      </rPr>
      <t xml:space="preserve"> Revisiones periódicas a los lineamientos de la política de seguridad de la información</t>
    </r>
  </si>
  <si>
    <t>Aplicabilidad de los lineamientos  a los interesados sobre el manejo de la información del proceso.</t>
  </si>
  <si>
    <t>Evidencia de la aplicabilidad de la política de comunicaciones en la definición de  lineamientos de manejo de la información con los procesos en la AND. Así mismo, capacitaciones del proceso realizada a las partes interesadas.</t>
  </si>
  <si>
    <t>2S</t>
  </si>
  <si>
    <t>1.  Afectación reputacional por generación de información imprecisa.
2. Sanciones impuestas por entes de control por generación de información imprecisa o inexacta.
3. Reprocesos administrativos por fuga o daño de la información, incumpliendo los tiempos de respuesta de las PQRDS
4. Incumplimiento en las normatividad de acuerdo a furag, política de gobierno digital.
5, afectación en la eficacia y eficiencia organizacional ante los grupos de interés</t>
  </si>
  <si>
    <r>
      <rPr>
        <b/>
        <sz val="11"/>
        <rFont val="Calibri"/>
        <family val="2"/>
        <scheme val="minor"/>
      </rPr>
      <t xml:space="preserve">Indisponibilidad de la Información oportuna o de los sistemas para las operaciones 
</t>
    </r>
    <r>
      <rPr>
        <sz val="11"/>
        <rFont val="Calibri"/>
        <family val="2"/>
        <scheme val="minor"/>
      </rPr>
      <t xml:space="preserve">La información no se encuentra disponible en el momento que se necesita para cumplir la operación o funciones propias en la Agencia.
.
</t>
    </r>
    <r>
      <rPr>
        <b/>
        <sz val="11"/>
        <rFont val="Calibri"/>
        <family val="2"/>
        <scheme val="minor"/>
      </rPr>
      <t xml:space="preserve">Fuga o acceso de información por personal no autorizado
</t>
    </r>
    <r>
      <rPr>
        <sz val="11"/>
        <rFont val="Calibri"/>
        <family val="2"/>
        <scheme val="minor"/>
      </rPr>
      <t>La información puede ser accedida por personal no autorizado por posible interceptación de tráfico en las redes, falla en los controles de acceso de los sistemas o instalaciones, o publicación sin autorización de la misma accidental o intencionalmente</t>
    </r>
  </si>
  <si>
    <t>Confidencialidad e Integridad</t>
  </si>
  <si>
    <t>C8</t>
  </si>
  <si>
    <r>
      <rPr>
        <b/>
        <sz val="10"/>
        <rFont val="Arial"/>
        <family val="2"/>
      </rPr>
      <t>A.9.4.1 Restricción  de  acceso  a  la  información</t>
    </r>
    <r>
      <rPr>
        <sz val="10"/>
        <rFont val="Arial"/>
        <family val="2"/>
      </rPr>
      <t xml:space="preserve">
: El  acceso  a  la  información  y  otros  activos  asociados  debe  estar  restringido  de  acuerdo  con  la  política  específica  del  tema establecida  sobre  control  de  acceso.. Para  garantizar  solo  el  acceso  autorizado  y  evitar  el  acceso  no  autorizado  a  la  información  y  otros activos  asociados.</t>
    </r>
  </si>
  <si>
    <t xml:space="preserve">
verificar repositorios de información  con los roles y perfiles de acceso  en conformidad  con la matriz  de acceso a la información </t>
  </si>
  <si>
    <t xml:space="preserve">Trimestral  </t>
  </si>
  <si>
    <t>verificar  el diligenciamiento de la matriz de acceso del proceso.</t>
  </si>
  <si>
    <t>C5</t>
  </si>
  <si>
    <r>
      <rPr>
        <b/>
        <sz val="10"/>
        <rFont val="Arial"/>
        <family val="2"/>
      </rPr>
      <t>A.9.1.2 Acceso a redes y a
servicios en red</t>
    </r>
    <r>
      <rPr>
        <sz val="10"/>
        <rFont val="Arial"/>
        <family val="2"/>
      </rPr>
      <t>; Solo se debe permitir acceso de los usuarios a la red y a los servicios de red
para los que hayan sido autorizados específicamente.</t>
    </r>
  </si>
  <si>
    <t xml:space="preserve">
Aplicar los lineamientos de  gestión de permisos de usuario  y  depurar los inactivos 
</t>
  </si>
  <si>
    <t xml:space="preserve">verificar el registro de depuración de usuarios con acceso a la información </t>
  </si>
  <si>
    <t>3S</t>
  </si>
  <si>
    <t>Ausencia de copias de respaldo o backup de la información (página web, intranet)</t>
  </si>
  <si>
    <r>
      <t xml:space="preserve">
</t>
    </r>
    <r>
      <rPr>
        <b/>
        <sz val="11"/>
        <rFont val="Calibri"/>
        <family val="2"/>
        <scheme val="minor"/>
      </rPr>
      <t>Fallas o deficiencia del software</t>
    </r>
    <r>
      <rPr>
        <sz val="11"/>
        <rFont val="Calibri"/>
        <family val="2"/>
        <scheme val="minor"/>
      </rPr>
      <t xml:space="preserve">
.
Las fallas en los sistemas de información, aplicaciones o desarrollos tecnológicos o debido a prácticas inadecuadas del software, actos accidentales, intencionales o no intencionales afectan la disponibilidad de la información para el desarrollo de las funciones y operaciones</t>
    </r>
  </si>
  <si>
    <t xml:space="preserve">Fallas técnicas </t>
  </si>
  <si>
    <t xml:space="preserve">     El riesgo afecta la imagen de la entidad internamente, de conocimiento general, nivel interno, de junta directiva y accionistas y/o de proveedores</t>
  </si>
  <si>
    <t>C6</t>
  </si>
  <si>
    <r>
      <rPr>
        <b/>
        <sz val="10"/>
        <rFont val="Arial"/>
        <family val="2"/>
      </rPr>
      <t xml:space="preserve">A.12.4.1 Registro de eventos
</t>
    </r>
    <r>
      <rPr>
        <sz val="10"/>
        <rFont val="Arial"/>
        <family val="2"/>
      </rPr>
      <t>Se deben elaborar, conservar y revisar regularmente los registros
acerca de actividades del usuario, excepciones, fallas y eventos de
seguridad de la información..</t>
    </r>
    <r>
      <rPr>
        <b/>
        <sz val="10"/>
        <rFont val="Arial"/>
        <family val="2"/>
      </rPr>
      <t xml:space="preserve">
A.12.3.1 Copia  de  seguridad  de  la  información;</t>
    </r>
    <r>
      <rPr>
        <sz val="10"/>
        <rFont val="Arial"/>
        <family val="2"/>
      </rPr>
      <t xml:space="preserve">
  Las  copias  de  respaldo  de  la  información,  el  software  y  los  sistemas  deben  mantenerse  y  probarse  regularmente  de  acuerdo  con la  política  de  respaldo  específica  del  tema  acordada.  Para  permitir  la  recuperación  de  la  pérdida  de  datos  o  sistemas.</t>
    </r>
  </si>
  <si>
    <t>Monitoreo y gestión de las copias de respaldo y restauración de las mismas para la página web y la intranet</t>
  </si>
  <si>
    <t xml:space="preserve">Profesional de Comunicaciones y Oficial de seguridad </t>
  </si>
  <si>
    <t xml:space="preserve">Mensual </t>
  </si>
  <si>
    <t xml:space="preserve">Monitorear  la ejecución y periodicidad  de copias de seguridad  del portal WEB alineadas al proceso </t>
  </si>
  <si>
    <t>Gestión de Grupos de Interés</t>
  </si>
  <si>
    <t>Establecer lineamientos y coordinar las actividades tendientes a la identificación de los intereses de los grupos de valor e interés, y a la implementación de acciones de participación, rendición de cuentas y atención de requerimientos en el marco de la gestión de la AND.</t>
  </si>
  <si>
    <t>1.  Afectación reputacional por generación de información imprecisa
2. Sanciones impuestas por entes de control por generación de información imprecisa o inexacta
3. Perdida de oportunidades en la celebración de contratos entre AND y otras entidades.</t>
  </si>
  <si>
    <r>
      <rPr>
        <b/>
        <sz val="11"/>
        <rFont val="Calibri"/>
        <family val="2"/>
        <scheme val="minor"/>
      </rPr>
      <t xml:space="preserve"> Información imprecisa o inexacta en las operaciones.</t>
    </r>
    <r>
      <rPr>
        <sz val="11"/>
        <rFont val="Calibri"/>
        <family val="2"/>
        <scheme val="minor"/>
      </rPr>
      <t xml:space="preserve">
La información puede ser accedida por personal no autorizado por posible interceptación de tráfico en las redes, falla en los controles de acceso de los sistemas o instalaciones, o publicación sin autorización de la misma accidental o intencionalmente.</t>
    </r>
  </si>
  <si>
    <r>
      <rPr>
        <b/>
        <sz val="10"/>
        <rFont val="Arial"/>
        <family val="2"/>
      </rPr>
      <t>A.12.3.1 Copia  de  seguridad  de  la  información;</t>
    </r>
    <r>
      <rPr>
        <sz val="10"/>
        <rFont val="Arial"/>
        <family val="2"/>
      </rPr>
      <t xml:space="preserve">
  Las  copias  de  respaldo  de  la  información,  el  software  y  los  sistemas  deben  mantenerse  y  probarse  regularmente  de  acuerdo  con la  política  de  respaldo  específica  del  tema  acordada.  Para  permitir  la  recuperación  de  la  pérdida  de  datos  o  sistemas.</t>
    </r>
  </si>
  <si>
    <t xml:space="preserve">monitoreo y gestión de las copias de respaldo y restauración de las mismas para la información de grupos de  interés </t>
  </si>
  <si>
    <t xml:space="preserve">Profesional de  gestión de grupos de  interés </t>
  </si>
  <si>
    <t xml:space="preserve">Monitorear  la ejecución y periodicidad  de copias de seguridad  de la información  de los grupo de interés </t>
  </si>
  <si>
    <t>Gestión de Talento Humano</t>
  </si>
  <si>
    <t xml:space="preserve"> Planear, organizar, ejecutar y controlar las acciones que promuevan la provisión y desarrollo del talento humano, bienestar y mejoramiento de las competencias laborales, la seguridad y salud en el trabajo, así́ como la gestión de situaciones administrativas que se generen en el ingreso, permanencia o retiro del personal de la Entidad</t>
  </si>
  <si>
    <t>1. Aumento de la posibilidad de materialización de los riesgos relacionados con el área de talento humano
2. Sanciones por el incumplimiento legales y regulatorios
3. Impacto de la reputación de la organización por indisponibilidad d la información, ante solicitudes de entes regulatorios
4. Hallazgos de auditorias realizadas por control interno y entes de control</t>
  </si>
  <si>
    <r>
      <t xml:space="preserve">Incumplimiento de las políticas de seguridad y privacidad de la información que atenten contra la disponibilidad, integridad y confidencialidad de la información
</t>
    </r>
    <r>
      <rPr>
        <sz val="11"/>
        <rFont val="Calibri"/>
        <family val="2"/>
        <scheme val="minor"/>
      </rPr>
      <t xml:space="preserve">
Políticas o controles de seguridad y privacidad de la información no aplicados total o parcialmente por desconocimiento o actos intencionales.</t>
    </r>
  </si>
  <si>
    <t>Confidencialidad, Integridad y Disponibilidad</t>
  </si>
  <si>
    <t>C3</t>
  </si>
  <si>
    <r>
      <rPr>
        <b/>
        <sz val="10"/>
        <rFont val="Arial"/>
        <family val="2"/>
      </rPr>
      <t>A.7.2.2 Toma de conciencia,
educación y formación en la
seguridad de la información;</t>
    </r>
    <r>
      <rPr>
        <sz val="10"/>
        <rFont val="Arial"/>
        <family val="2"/>
      </rPr>
      <t xml:space="preserve"> El  personal  de  la  organización  y  las  partes  interesadas  relevantes  deben  recibir  la  conciencia,  educación  y  capacitación adecuadas  sobre  la  seguridad  de  la  información  y  actualizaciones  regulares  de  la  política  de  seguridad  de  la  información  de  la organización,  las  políticas  y  los  procedimientos  específicos  del  tema,  según  sea  relevante  para  su  función  laboral.</t>
    </r>
  </si>
  <si>
    <t xml:space="preserve">elaborar el plan capacitación de ciberseguridad AND
</t>
  </si>
  <si>
    <t xml:space="preserve">
Equipo de Seguridad y Privacidad de la Información
Talento humano</t>
  </si>
  <si>
    <t>Semestral</t>
  </si>
  <si>
    <t xml:space="preserve">seguimiento a las actividades relacionadas al plan </t>
  </si>
  <si>
    <t>Subdirector Administrativo y Financiero</t>
  </si>
  <si>
    <t xml:space="preserve">Trimestral </t>
  </si>
  <si>
    <t>Monitorear  la ejecución y periodicidad  de copias de seguridad  de la información  de  la información del proceso en el repositorio autorizado por la AND como medio de respaldo.</t>
  </si>
  <si>
    <t xml:space="preserve">Retraso en la salida de la información generada por los diferentes sistemas de información </t>
  </si>
  <si>
    <t>Fallas tecnológicas</t>
  </si>
  <si>
    <t>Fallas Tecnológicas</t>
  </si>
  <si>
    <r>
      <rPr>
        <b/>
        <sz val="10"/>
        <rFont val="Arial"/>
        <family val="2"/>
      </rPr>
      <t>A.12.4.1 Registro de eventos</t>
    </r>
    <r>
      <rPr>
        <sz val="10"/>
        <rFont val="Arial"/>
        <family val="2"/>
      </rPr>
      <t xml:space="preserve">
Las  redes,  los  sistemas  y  las  aplicaciones  deben  monitorearse  para  detectar  comportamientos  anómalos  y  deben  tomarse  las medidas  apropiadas  para  evaluar  posibles  incidentes  de  seguridad  de  la  información. Para  detectar  comportamientos  anómalos  y  posibles  incidentes  de  seguridad  de  la  información.
</t>
    </r>
  </si>
  <si>
    <t xml:space="preserve">verificación e cumplimento de gestión e software </t>
  </si>
  <si>
    <t xml:space="preserve">Cumplimientos de Obligaciones  por parte de supervisor de contrato </t>
  </si>
  <si>
    <t>1.  Afectación reputacional por generación de información imprecisa.
2. Sanciones impuestas por entes de control por generación de información imprecisa o inexacta.
3. Reprocesos administrativos por fuga o daño de la información, incumpliendo los tiempos de respuesta 
4. Incumplimiento en las normatividad de acuerdo a furag, política de gobierno digital
5, afectación en la eficacia y eficiencia
 organizacional ante los grupos de interés</t>
  </si>
  <si>
    <t>Confidencialidad</t>
  </si>
  <si>
    <t>Verificar y monitorear  el diligenciamiento  de la matriz de acceso de la información del proceso.</t>
  </si>
  <si>
    <t>Profesional de Apoyo Administrativo</t>
  </si>
  <si>
    <t xml:space="preserve">verificación de la matriz de acceso actualizada </t>
  </si>
  <si>
    <t>Verificación de aplicabilidad de  lineamientos de trabajo remoto y uso dispositivos</t>
  </si>
  <si>
    <t xml:space="preserve">medición e aplicabilidad de la políticas de trabajo remoto y uso de los dispositivos tecnológico </t>
  </si>
  <si>
    <t>4S</t>
  </si>
  <si>
    <t xml:space="preserve"> Planear, organizar, ejecutar y controlar las acciones que promuevan la provisión y desarrollo del talento humano, bienestar y mejoramiento de las competencias laborales, la seguridad y salud en el trabajo, así como la gestión de situaciones administrativas que se generen en el ingreso, permanencia o retiro del personal de la Entidad</t>
  </si>
  <si>
    <r>
      <rPr>
        <b/>
        <sz val="11"/>
        <rFont val="Calibri"/>
        <family val="2"/>
        <scheme val="minor"/>
      </rPr>
      <t>Información imprecisa o inexacta en las operaciones.</t>
    </r>
    <r>
      <rPr>
        <sz val="11"/>
        <rFont val="Calibri"/>
        <family val="2"/>
        <scheme val="minor"/>
      </rPr>
      <t xml:space="preserve">
La información podría ser modificada o alterada sin autorización.
Se puede dar por alteración o cambios de la información (digital o electrónica) generada, recolectada, procesada o almacenada.</t>
    </r>
  </si>
  <si>
    <t>Monitorear las actividades de revisión de información propia del proceso.</t>
  </si>
  <si>
    <t>Gestión Administrativa</t>
  </si>
  <si>
    <t>Planear, administrar, organizar y controlar los bienes y servicios adquiridos, así́ como gestionar los tramites inmersos en el proceso administrativo y las adecuaciones de infraestructura física que requiera la Entidad, mediante la correcta ejecución de los recursos para el adecuado funcionamiento de la Agencia Nacional Digital.</t>
  </si>
  <si>
    <t>1. Reprocesos debido a la indisponibilidad de las plataformas donde  se aloja la información.
2. Perdida de la memoria o gestión del conocimiento
3. Aumento del presupuesto debido a reprocesos administrativos, con el objetivo de recuperar información perdida o  indisponible
4. Afectación económica por incumplimiento a las clausulas contractuales.</t>
  </si>
  <si>
    <t>Ausencia de copias de respaldo o Backus de la información</t>
  </si>
  <si>
    <r>
      <rPr>
        <b/>
        <sz val="11"/>
        <rFont val="Calibri"/>
        <family val="2"/>
        <scheme val="minor"/>
      </rPr>
      <t xml:space="preserve">No disponibilidad de la información requerida para el desempeño del proceso.
</t>
    </r>
    <r>
      <rPr>
        <sz val="11"/>
        <rFont val="Calibri"/>
        <family val="2"/>
        <scheme val="minor"/>
      </rPr>
      <t xml:space="preserve">
Pérdida o ausencia de información debido a debilidades en la aplicación del procedimiento de copias de respaldo, custodia de la información y débil aplicación de políticas de buen uso de los activos de información</t>
    </r>
  </si>
  <si>
    <t>Error en uso</t>
  </si>
  <si>
    <t>Correctivo</t>
  </si>
  <si>
    <t>Monitorea  la información del proceso en el repositorio autorizado por la AND como medio de respaldo.</t>
  </si>
  <si>
    <t>Capacitar a los interesados sobre el manejo de la información del proceso.</t>
  </si>
  <si>
    <t xml:space="preserve">Semestral </t>
  </si>
  <si>
    <t xml:space="preserve">realizar las capacitaciones   sobre las políticas  de seguridad  en el manejo de la información del área </t>
  </si>
  <si>
    <t>Gestión Financiera</t>
  </si>
  <si>
    <t>Gestionar y realizar el seguimiento a la ejecución de los recursos financieros de la AND mediante el registro de operaciones en el SIIF-Nación, así́ como la presentación de los estados financieros de la Entidad, con el fin de disponer de información oportuna y veraz para el cumplimiento de la ejecución del presupuesto asignado y de los objetivos propuestos por la Agencia Nacional Digital.</t>
  </si>
  <si>
    <t>Ausencia de copias de respaldo de información</t>
  </si>
  <si>
    <r>
      <rPr>
        <b/>
        <sz val="11"/>
        <rFont val="Calibri"/>
        <family val="2"/>
        <scheme val="minor"/>
      </rPr>
      <t xml:space="preserve">Indisponibilidad de la Información oportuna o de los sistemas para las operaciones 
</t>
    </r>
    <r>
      <rPr>
        <sz val="11"/>
        <rFont val="Calibri"/>
        <family val="2"/>
        <scheme val="minor"/>
      </rPr>
      <t xml:space="preserve">
La información no se encuentra disponible en el momento que se necesita para cumplir la operación o funciones propias en la Agencia.</t>
    </r>
  </si>
  <si>
    <t>Probabilidad</t>
  </si>
  <si>
    <t>Sin Registro</t>
  </si>
  <si>
    <t>Muy Baja</t>
  </si>
  <si>
    <t>Catastrófico</t>
  </si>
  <si>
    <t>Extremo</t>
  </si>
  <si>
    <t>Validar el respaldo de la información del proceso.</t>
  </si>
  <si>
    <t>Profesional de Apoyo de TI - Administrativo</t>
  </si>
  <si>
    <t xml:space="preserve">supervisar la  evidencia ubicación de la información del proceso en el repositorio autorizado por la AND como medio de respaldo. Cumplimiento de obligaciones </t>
  </si>
  <si>
    <r>
      <rPr>
        <b/>
        <sz val="11"/>
        <rFont val="Calibri"/>
        <family val="2"/>
        <scheme val="minor"/>
      </rPr>
      <t>La información puede ser accedida por personal no autorizado por posible interceptación de tráfico en las redes</t>
    </r>
    <r>
      <rPr>
        <sz val="11"/>
        <rFont val="Calibri"/>
        <family val="2"/>
        <scheme val="minor"/>
      </rPr>
      <t>, falla en los controles de acceso de los sistemas o instalaciones, o publicación sin autorización de la misma accidental o intencionalmente.</t>
    </r>
  </si>
  <si>
    <t xml:space="preserve">     El riesgo afecta la imagen de  la entidad con efecto publicitario sostenido a nivel de sector administrativo, nivel departamental o municipal</t>
  </si>
  <si>
    <t>Mayor</t>
  </si>
  <si>
    <t>Alto</t>
  </si>
  <si>
    <r>
      <t xml:space="preserve">A.12.1.1 Procedimientos de
operación documentados
</t>
    </r>
    <r>
      <rPr>
        <sz val="11"/>
        <color rgb="FF000000"/>
        <rFont val="Calibri"/>
        <family val="2"/>
      </rPr>
      <t>Los  procedimientos  operativos  para  las  instalaciones  de  procesamiento  de  información  deben  documentarse  y  ponerse  disposición  del  personal  que  los  necesite. Garantizar  el  funcionamiento  correcto  y  seguro  de  las  instalaciones  de  procesamiento  de  información.</t>
    </r>
    <r>
      <rPr>
        <b/>
        <sz val="11"/>
        <color rgb="FF000000"/>
        <rFont val="Calibri"/>
        <family val="2"/>
      </rPr>
      <t xml:space="preserve">
</t>
    </r>
  </si>
  <si>
    <t>Realizar seguimiento a la implementación de controles operativos sobre el proceso.</t>
  </si>
  <si>
    <t xml:space="preserve">realizar monitoreos y verificación al  área financiera cuenta con procedimientos, donde cada ejecutor de las actividades tiene controles que ayudan al cumplimiento de la actividad y a la mitigación del riesgos operativo. </t>
  </si>
  <si>
    <t>Moderado</t>
  </si>
  <si>
    <t>verificar y monitorear la matriz de acceso de la información del proceso.</t>
  </si>
  <si>
    <t>Validar el  control dar acceso  al respaldo de la información del proceso.</t>
  </si>
  <si>
    <t>1. Posibilidades en alterar la información confidencial de la AND
2. Suplantación de identidad para el ingreso a los portales bancarios
3. Detrimento patrimonial por robo de los recursos financieros por terceros
4. Afectación a la reputación institucional.</t>
  </si>
  <si>
    <t xml:space="preserve">     El riesgo afecta la imagen de de la entidad con efecto publicitario sostenido a nivel de sector administrativo, nivel departamental o municipal</t>
  </si>
  <si>
    <t xml:space="preserve">Desconocimiento o no aplicación de las políticas de seguridad y privacidad de la información
Anonimización  de datos </t>
  </si>
  <si>
    <t>C4</t>
  </si>
  <si>
    <r>
      <t xml:space="preserve">A.7.2.3 Proceso disciplinario </t>
    </r>
    <r>
      <rPr>
        <sz val="11"/>
        <color rgb="FF000000"/>
        <rFont val="Calibri"/>
        <family val="2"/>
      </rPr>
      <t>Se  debe  formalizar  y  comunicar  un  proceso  disciplinario  para  tomar  acciones  contra  el  personal  y  otras  partes  interesadas  relevantes  que  hayan  cometido  una  violación  de  la  política  de  seguridad  de  la  información. Para  Asegurar  que  el  personal  y  otras  partes  interesadas  relevantes  entiendan  las  consecuencias  de  la  violación  de  la  política de  seguridad  de  la  información,  para  disuadir  y  tratar adecuadamente  al  personal  y  otras  partes  interesadas  relevantes que  cometieron  la  violación.</t>
    </r>
    <r>
      <rPr>
        <b/>
        <sz val="11"/>
        <color rgb="FF000000"/>
        <rFont val="Calibri"/>
        <family val="2"/>
      </rPr>
      <t xml:space="preserve">
</t>
    </r>
  </si>
  <si>
    <t xml:space="preserve">Verificación de aplicabilidad de  lineamientos  de anonimización de datos </t>
  </si>
  <si>
    <t xml:space="preserve">medición e aplicabilidad de la políticas de  anomización e datos y repositorios de información  </t>
  </si>
  <si>
    <t>Reputacional</t>
  </si>
  <si>
    <t>1. Dificultad en el procesamiento de las operaciones del área financiera
2. Afectación a la reputación institucional.
1.  Sanciones impuestas por los entes de control tributario
3.  Toma de decisiones erróneas por ausencia de la integridad de la información 
4. Detrimento patrimonial por información inconsistente
5. Afectación a la reputación institucional.
6. Incumplimiento a la ley 1712:2014 - transparencia</t>
  </si>
  <si>
    <t>Ausencia de cláusulas y ANS con el proveedor de servicios
Ausencia de auditorías (supervisiones) regulares</t>
  </si>
  <si>
    <r>
      <t xml:space="preserve">Fallas o deficiencia del software
</t>
    </r>
    <r>
      <rPr>
        <sz val="11"/>
        <rFont val="Calibri"/>
        <family val="2"/>
        <scheme val="minor"/>
      </rPr>
      <t>Las fallas en los sistemas de información, aplicaciones o desarrollos tecnológicos o debido a prácticas inadecuadas del software, actos accidentales, intencionales o no intencionales afectan la disponibilidad de la información para el desarrollo de las funciones y operaciones</t>
    </r>
  </si>
  <si>
    <t>C9</t>
  </si>
  <si>
    <r>
      <rPr>
        <b/>
        <sz val="11"/>
        <color rgb="FF000000"/>
        <rFont val="Calibri"/>
        <family val="2"/>
      </rPr>
      <t>A.14.2.7 Desarrollo contratado
externamente</t>
    </r>
    <r>
      <rPr>
        <sz val="11"/>
        <color rgb="FF000000"/>
        <rFont val="Calibri"/>
        <family val="2"/>
      </rPr>
      <t xml:space="preserve"> Se  debe  obtener  información  sobre  las  vulnerabilidades  técnicas  de  los  sistemas  de  información  en  uso,  se  debe  evaluar  la exposición  de  la  organización  a  tales  vulnerabilidades  y  se  deben  tomar  las  medidas  apropiadas. Para  garantizar  que  las  medidas  de  seguridad  de  la  información  requeridas  por  la  organización  se  implementen  en  el  desarrollo de  sistemas  subcontratados.
</t>
    </r>
    <r>
      <rPr>
        <b/>
        <sz val="11"/>
        <color rgb="FF000000"/>
        <rFont val="Calibri"/>
        <family val="2"/>
      </rPr>
      <t xml:space="preserve">
A.12.4.1 Registro de eventos </t>
    </r>
    <r>
      <rPr>
        <sz val="11"/>
        <color rgb="FF000000"/>
        <rFont val="Calibri"/>
        <family val="2"/>
      </rPr>
      <t xml:space="preserve">Se  deben  producir,  almacenar,  proteger  y  analizar  registros  que  registren  actividades,  excepciones,  fallas  y  otros  eventos relevantes. Para  registrar  eventos,  generar  evidencia,  garantizar  la  integridad  de  la  información  de  registro,  prevenir  el  acceso  no  autorizado,  identificar eventos  de  seguridad  de  la  información  que  pueden  conducir  a  un  incidente  de  seguridad  de  la  información  y  respaldar  investigaciones.
Se cuentan con ANS, el cual los tiempos de respuesta es de 24 horas </t>
    </r>
  </si>
  <si>
    <t>Identificar contrato de cumplimiento del servicio (SINFA)</t>
  </si>
  <si>
    <t xml:space="preserve">Se evidencia contrato de adquisición de servicio del software SINFA. Y verificación de log de auditoria </t>
  </si>
  <si>
    <t>Gestión Documental</t>
  </si>
  <si>
    <t>Gestionar y controlar los documentos de la AND conforme a las disposiciones legales vigentes de gestión documental, para la producción o recepción, clasificación, distribución, consulta, organización, recuperación y disposición final, con el propósito de preservar la memoria institucional y promover la transparencia y acceso a la información pública.</t>
  </si>
  <si>
    <t>1. Afectación reputacional por multas impuestas por el incumplimiento de regulaciones</t>
  </si>
  <si>
    <t>Líder de Gestión Documental</t>
  </si>
  <si>
    <t>1.  Afectación reputacional por multas impuestas por el incumplimiento de regulaciones
2. Demoras en las respuestas a los ciudadanos
3. Incumplimiento a los objetivos de proceso, generando reprocesos en los tiempos de respuesta a gestión documental.</t>
  </si>
  <si>
    <t>aplicabilidad  de la integridad de la información en la política de gestión documental.</t>
  </si>
  <si>
    <t>Validar el  control de acceso  al respaldo de la información del proceso.</t>
  </si>
  <si>
    <t>Gestión Jurídica</t>
  </si>
  <si>
    <t>Generar lineamientos y asesorar en asuntos jurídicos y representación judicial y prejudicial a la Agencia Nacional Digital con el fin de proteger sus intereses jurídicos.</t>
  </si>
  <si>
    <t>1. Reprocesos administrativos en la generación de nueva información solicitada y/o actualización afectando los tiempos de respuesta del área o proceso.
2. Demoras en las respuesta a solicitudes por entes de control
3. afectación reputacional de la AND
4.  Apertura de investigaciones por incumplimiento de la  normatividad legal vigente
5. Multas por incumplimiento en la normatividad  vigente.</t>
  </si>
  <si>
    <r>
      <rPr>
        <b/>
        <sz val="10"/>
        <rFont val="Arial"/>
        <family val="2"/>
      </rPr>
      <t xml:space="preserve">A.12.3.1 Copia  de  seguridad  de  la  información;
  </t>
    </r>
    <r>
      <rPr>
        <sz val="10"/>
        <rFont val="Arial"/>
        <family val="2"/>
      </rPr>
      <t>Las  copias  de  respaldo  de  la  información,  el  software  y  los  sistemas  deben  mantenerse  y  probarse  regularmente  de  acuerdo  con la  política  de  respaldo  específica  del  tema  acordada.  Para  permitir  la  recuperación  de  la  pérdida  de  datos  o  sistemas.
Repositorio de Informacion alienados al proceso con los documentos  planes, programas,  proyectos</t>
    </r>
  </si>
  <si>
    <t>Monitoreo de la carpeta repositorio con la  información relacionada con el proceso en el SharePoint dispuestos para tal fin.</t>
  </si>
  <si>
    <t>1. Favorecimiento a terceros por el manejo inadecuado de la información
2. afectación de las operaciones dentro de la agencia
3. afectación reputacional de la AND
4.  Multas impuestas a la AND por el incumplimiento de la normatividad legal</t>
  </si>
  <si>
    <t>Subdirector Jurídico
Profesional Jurídico</t>
  </si>
  <si>
    <t>Monitoreo de la carpeta repositorio con la información alineada al proceso</t>
  </si>
  <si>
    <t>Gestión Contractual</t>
  </si>
  <si>
    <t>Gestionar y asegurar la adquisición de bienes y/o servicios en la Agencia Nacional Digital mediante la asesoría y acompañamiento de los procesos contractuales con el fin de cumplir lo dispuesto en el plan anual de adquisiciones.</t>
  </si>
  <si>
    <t>1. Reprocesos administrativos en la generación de nueva información solicitada y/o actualización afectando los tiempos de respuesta del área o proceso.
2. Demoras en las respuestas a solicitudes por entes de control
3. afectación reputacional de la AND
4.  Apertura de investigaciones por incumplimiento de la  normatividad legal vigente
5. Multas por incumplimiento en la normatividad  vigente.</t>
  </si>
  <si>
    <t>Detectivo</t>
  </si>
  <si>
    <t xml:space="preserve">monitorear  el uso de repositorio autorizado por la AND como medio de respaldo de la información del proceso </t>
  </si>
  <si>
    <r>
      <rPr>
        <b/>
        <sz val="10"/>
        <rFont val="Arial"/>
        <family val="2"/>
      </rPr>
      <t xml:space="preserve">A.5.1.2 Revisión de las políticas para
la seguridad de la información </t>
    </r>
    <r>
      <rPr>
        <sz val="10"/>
        <rFont val="Arial"/>
        <family val="2"/>
      </rPr>
      <t>Las políticas para la seguridad de la información se deben revisar a
intervalos planificados, o si ocurren cambios significativos, para asegurar
su conveniencia, adecuación y eficacia continúas.</t>
    </r>
  </si>
  <si>
    <t>Realizar seguimiento de la entrega oportuna de la información de contratistas y colaboradores alojen la información relacionada con el proceso en el SharePoint dispuestos para tal fin.</t>
  </si>
  <si>
    <t xml:space="preserve">mensual </t>
  </si>
  <si>
    <t>aplicabilidad de los procedimientos del proceso actividades de revisión o validación de información propias del mismo.</t>
  </si>
  <si>
    <t>Verificación de aplicabilidad de  lineamientos manejo de la información</t>
  </si>
  <si>
    <t xml:space="preserve">aplicabilidad de  política de seguridad y privacidad de la información  la definición de lineamientos de seguridad para  manejo de la información </t>
  </si>
  <si>
    <t>Seguridad y Privacidad de la Información</t>
  </si>
  <si>
    <t>Definir e implementar lineamientos, estrategias y actividades orientadas a la seguridad y privacidad de la información conforme a la normatividad aplicable.</t>
  </si>
  <si>
    <t>1. Afectacion reputacional por multas impuestas por el incumplimiento de regulaciones
2.  Indisponibilidad de los servicios criticos de la AND, por el manejo inadecuado de la informacion.</t>
  </si>
  <si>
    <r>
      <rPr>
        <b/>
        <sz val="10"/>
        <rFont val="Arial"/>
        <family val="2"/>
      </rPr>
      <t xml:space="preserve">A.12.3.1 Copia  de  seguridad  de  la  información;
  </t>
    </r>
    <r>
      <rPr>
        <sz val="10"/>
        <rFont val="Arial"/>
        <family val="2"/>
      </rPr>
      <t>Las  copias  de  respaldo  de  la  información,  el  software  y  los  sistemas  deben  mantenerse  y  probarse  regularmente  de  acuerdo  con la  política  de  respaldo  específica  del  tema  acordada.  Para  permitir  la  recuperación  de  la  pérdida  de  datos  o  sistemas.</t>
    </r>
  </si>
  <si>
    <t>Revisiones periódicas a los lineamientos de la política de seguridad de la información</t>
  </si>
  <si>
    <t>Matriz de Calor Inherente</t>
  </si>
  <si>
    <t>Muy Alta
100%</t>
  </si>
  <si>
    <t>,</t>
  </si>
  <si>
    <t>Alta
80%</t>
  </si>
  <si>
    <t>Media
60%</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</si>
  <si>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</si>
  <si>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</si>
  <si>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</si>
  <si>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</si>
  <si>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</si>
  <si>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</si>
  <si>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</si>
  <si>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</si>
  <si>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</si>
  <si>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</si>
  <si>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</si>
  <si>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</si>
  <si>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</si>
  <si>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</si>
  <si>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</si>
  <si>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</si>
  <si>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</si>
  <si>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</si>
  <si>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</si>
  <si>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</si>
  <si>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</si>
  <si>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</si>
  <si>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</si>
  <si>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</si>
  <si>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</si>
  <si>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</si>
  <si>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</si>
  <si>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</si>
  <si>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</si>
  <si>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</si>
  <si>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</si>
  <si>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</si>
  <si>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</si>
  <si>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</si>
  <si>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 80%</t>
  </si>
  <si>
    <t xml:space="preserve">Entre 100 y 500 SMLMV </t>
  </si>
  <si>
    <t>El riesgo afecta la imagen de de la entidad con efecto publicitario sostenido a nivel de sector administrativo, nivel departamental o municipal</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</si>
  <si>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</si>
  <si>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</si>
  <si>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</si>
  <si>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</si>
  <si>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</si>
  <si>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</si>
  <si>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</si>
  <si>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</si>
  <si>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</si>
  <si>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</si>
  <si>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</si>
  <si>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Criterios</t>
  </si>
  <si>
    <t>Subcriterios</t>
  </si>
  <si>
    <t>Afectación Económica o presupuestal</t>
  </si>
  <si>
    <t>Afectación menor a 10 SMLMV .</t>
  </si>
  <si>
    <t>❌</t>
  </si>
  <si>
    <t>✔</t>
  </si>
  <si>
    <t>Tabla Atributos de para el diseño del control</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</si>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</sst>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1"/>
      <color theme="0"/>
      <name val="Calibri"/>
      <family val="2"/>
      <scheme val="minor"/>
    </font>
    <font>
      <b/>
      <sz val="11"/>
      <color theme="1"/>
      <name val="Calibri"/>
      <family val="2"/>
      <scheme val="minor"/>
    </font>
    <font>
      <b/>
      <sz val="11"/>
      <color theme="1"/>
      <name val="Calibri"/>
      <family val="2"/>
    </font>
    <font>
      <b/>
      <sz val="20"/>
      <color theme="0"/>
      <name val="Calibri"/>
      <family val="2"/>
      <scheme val="minor"/>
    </font>
    <font>
      <sz val="10"/>
      <color theme="1"/>
      <name val="Arial"/>
      <family val="2"/>
    </font>
    <font>
      <sz val="11"/>
      <color rgb="FF000000"/>
      <name val="Calibri"/>
      <family val="2"/>
      <scheme val="minor"/>
    </font>
    <font>
      <sz val="11"/>
      <color rgb="FF000000"/>
      <name val="Calibri"/>
      <family val="2"/>
    </font>
    <font>
      <b/>
      <sz val="11"/>
      <name val="Calibri"/>
      <family val="2"/>
      <scheme val="minor"/>
    </font>
    <font>
      <b/>
      <sz val="11"/>
      <color rgb="FF000000"/>
      <name val="Calibri"/>
      <family val="2"/>
    </font>
    <font>
      <b/>
      <sz val="11"/>
      <name val="Calibri"/>
      <family val="2"/>
    </font>
    <font>
      <sz val="11"/>
      <name val="Calibri"/>
      <family val="2"/>
    </font>
    <font>
      <sz val="11"/>
      <color theme="1"/>
      <name val="Arial"/>
      <family val="2"/>
    </font>
    <font>
      <sz val="11"/>
      <color theme="1"/>
      <name val="Calibri"/>
      <family val="2"/>
    </font>
    <font>
      <b/>
      <sz val="10"/>
      <name val="Arial"/>
      <family val="2"/>
    </font>
  </fonts>
  <fills count="3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2060"/>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0"/>
        <bgColor theme="0"/>
      </patternFill>
    </fill>
    <fill>
      <patternFill patternType="solid">
        <fgColor rgb="FFFF0000"/>
        <bgColor rgb="FF000000"/>
      </patternFill>
    </fill>
    <fill>
      <patternFill patternType="solid">
        <fgColor rgb="FFC00000"/>
        <bgColor rgb="FF000000"/>
      </patternFill>
    </fill>
    <fill>
      <patternFill patternType="solid">
        <fgColor rgb="FF92D050"/>
        <bgColor rgb="FF000000"/>
      </patternFill>
    </fill>
    <fill>
      <patternFill patternType="solid">
        <fgColor rgb="FFFFC000"/>
        <bgColor rgb="FF000000"/>
      </patternFill>
    </fill>
    <fill>
      <patternFill patternType="solid">
        <fgColor rgb="FFE26B0A"/>
        <bgColor rgb="FF000000"/>
      </patternFill>
    </fill>
    <fill>
      <patternFill patternType="solid">
        <fgColor rgb="FFFFFF00"/>
        <bgColor rgb="FF000000"/>
      </patternFill>
    </fill>
    <fill>
      <patternFill patternType="solid">
        <fgColor rgb="FFFFFF66"/>
        <bgColor rgb="FF000000"/>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2"/>
        <bgColor indexed="64"/>
      </patternFill>
    </fill>
    <fill>
      <patternFill patternType="solid">
        <fgColor theme="0"/>
        <bgColor rgb="FF000000"/>
      </patternFill>
    </fill>
  </fills>
  <borders count="15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left>
      <right style="dashed">
        <color theme="9"/>
      </right>
      <top style="dashed">
        <color theme="9"/>
      </top>
      <bottom style="dashed">
        <color theme="9"/>
      </bottom>
      <diagonal/>
    </border>
    <border>
      <left style="dashed">
        <color theme="9"/>
      </left>
      <right style="dashed">
        <color theme="9"/>
      </right>
      <top style="dashed">
        <color theme="9"/>
      </top>
      <bottom style="medium">
        <color theme="9"/>
      </bottom>
      <diagonal/>
    </border>
    <border>
      <left style="dashed">
        <color theme="9"/>
      </left>
      <right style="dashed">
        <color theme="9"/>
      </right>
      <top style="dashed">
        <color theme="9"/>
      </top>
      <bottom/>
      <diagonal/>
    </border>
    <border>
      <left style="dashed">
        <color theme="9"/>
      </left>
      <right style="dashed">
        <color theme="9"/>
      </right>
      <top/>
      <bottom style="dashed">
        <color theme="9"/>
      </bottom>
      <diagonal/>
    </border>
    <border>
      <left style="dashed">
        <color theme="9"/>
      </left>
      <right style="dashed">
        <color theme="9"/>
      </right>
      <top/>
      <bottom/>
      <diagonal/>
    </border>
    <border>
      <left style="dashed">
        <color theme="9"/>
      </left>
      <right style="dashed">
        <color theme="9" tint="-0.24994659260841701"/>
      </right>
      <top style="dashed">
        <color theme="9"/>
      </top>
      <bottom/>
      <diagonal/>
    </border>
    <border>
      <left style="dashed">
        <color theme="9"/>
      </left>
      <right style="dashed">
        <color theme="9" tint="-0.24994659260841701"/>
      </right>
      <top/>
      <bottom style="dashed">
        <color theme="9"/>
      </bottom>
      <diagonal/>
    </border>
    <border>
      <left/>
      <right style="dashed">
        <color theme="9"/>
      </right>
      <top style="dashed">
        <color theme="9"/>
      </top>
      <bottom style="dashed">
        <color theme="9"/>
      </bottom>
      <diagonal/>
    </border>
    <border>
      <left style="dashed">
        <color theme="9"/>
      </left>
      <right/>
      <top style="dashed">
        <color theme="9"/>
      </top>
      <bottom style="dashed">
        <color theme="9"/>
      </bottom>
      <diagonal/>
    </border>
    <border>
      <left/>
      <right/>
      <top style="dashed">
        <color rgb="FFF79646"/>
      </top>
      <bottom/>
      <diagonal/>
    </border>
    <border>
      <left style="dashed">
        <color theme="9"/>
      </left>
      <right style="dashed">
        <color theme="9"/>
      </right>
      <top/>
      <bottom style="medium">
        <color theme="9"/>
      </bottom>
      <diagonal/>
    </border>
    <border>
      <left/>
      <right style="dashed">
        <color theme="9"/>
      </right>
      <top style="dashed">
        <color theme="9"/>
      </top>
      <bottom style="medium">
        <color theme="9"/>
      </bottom>
      <diagonal/>
    </border>
    <border>
      <left/>
      <right style="dashed">
        <color rgb="FFE26B0A"/>
      </right>
      <top style="dashed">
        <color rgb="FFF79646"/>
      </top>
      <bottom style="medium">
        <color theme="9"/>
      </bottom>
      <diagonal/>
    </border>
    <border>
      <left style="dashed">
        <color rgb="FFE26B0A"/>
      </left>
      <right style="dashed">
        <color rgb="FFE26B0A"/>
      </right>
      <top/>
      <bottom style="medium">
        <color theme="9"/>
      </bottom>
      <diagonal/>
    </border>
    <border>
      <left/>
      <right style="dashed">
        <color rgb="FFE26B0A"/>
      </right>
      <top/>
      <bottom style="medium">
        <color theme="9"/>
      </bottom>
      <diagonal/>
    </border>
    <border>
      <left style="dashed">
        <color theme="9"/>
      </left>
      <right style="dashed">
        <color theme="9"/>
      </right>
      <top style="medium">
        <color theme="9"/>
      </top>
      <bottom/>
      <diagonal/>
    </border>
    <border>
      <left style="dashed">
        <color theme="9" tint="-0.24994659260841701"/>
      </left>
      <right/>
      <top/>
      <bottom style="medium">
        <color theme="9"/>
      </bottom>
      <diagonal/>
    </border>
    <border>
      <left/>
      <right/>
      <top style="dashed">
        <color rgb="FFF79646"/>
      </top>
      <bottom style="medium">
        <color theme="9"/>
      </bottom>
      <diagonal/>
    </border>
    <border>
      <left style="dashed">
        <color rgb="FFE26B0A"/>
      </left>
      <right style="dashed">
        <color rgb="FFE26B0A"/>
      </right>
      <top/>
      <bottom/>
      <diagonal/>
    </border>
    <border>
      <left/>
      <right style="dashed">
        <color rgb="FFE26B0A"/>
      </right>
      <top/>
      <bottom/>
      <diagonal/>
    </border>
    <border>
      <left/>
      <right style="dashed">
        <color theme="9"/>
      </right>
      <top/>
      <bottom style="medium">
        <color theme="9"/>
      </bottom>
      <diagonal/>
    </border>
    <border>
      <left style="dashed">
        <color theme="9"/>
      </left>
      <right style="dashed">
        <color rgb="FFE26B0A"/>
      </right>
      <top style="dashed">
        <color theme="9"/>
      </top>
      <bottom style="medium">
        <color theme="9"/>
      </bottom>
      <diagonal/>
    </border>
    <border>
      <left style="dashed">
        <color rgb="FFE26B0A"/>
      </left>
      <right style="dashed">
        <color theme="9"/>
      </right>
      <top/>
      <bottom style="medium">
        <color theme="9"/>
      </bottom>
      <diagonal/>
    </border>
    <border>
      <left style="dashed">
        <color theme="9"/>
      </left>
      <right style="dashed">
        <color theme="9"/>
      </right>
      <top style="medium">
        <color theme="9"/>
      </top>
      <bottom style="medium">
        <color theme="9"/>
      </bottom>
      <diagonal/>
    </border>
    <border>
      <left/>
      <right style="dashed">
        <color theme="9"/>
      </right>
      <top style="medium">
        <color theme="9"/>
      </top>
      <bottom style="medium">
        <color theme="9"/>
      </bottom>
      <diagonal/>
    </border>
    <border>
      <left/>
      <right/>
      <top style="medium">
        <color theme="9"/>
      </top>
      <bottom style="medium">
        <color theme="9"/>
      </bottom>
      <diagonal/>
    </border>
    <border>
      <left style="dashed">
        <color theme="9"/>
      </left>
      <right/>
      <top style="medium">
        <color theme="9"/>
      </top>
      <bottom style="medium">
        <color theme="9"/>
      </bottom>
      <diagonal/>
    </border>
    <border>
      <left style="dashed">
        <color theme="9" tint="-0.24994659260841701"/>
      </left>
      <right style="dashed">
        <color theme="9" tint="-0.24994659260841701"/>
      </right>
      <top style="dashed">
        <color theme="9"/>
      </top>
      <bottom/>
      <diagonal/>
    </border>
    <border>
      <left style="dashed">
        <color theme="9" tint="-0.24994659260841701"/>
      </left>
      <right style="dashed">
        <color theme="9"/>
      </right>
      <top style="dashed">
        <color theme="9"/>
      </top>
      <bottom/>
      <diagonal/>
    </border>
    <border>
      <left/>
      <right style="dashed">
        <color theme="9"/>
      </right>
      <top style="dashed">
        <color theme="9" tint="-0.24994659260841701"/>
      </top>
      <bottom/>
      <diagonal/>
    </border>
    <border>
      <left style="dashed">
        <color theme="9"/>
      </left>
      <right/>
      <top style="thin">
        <color indexed="64"/>
      </top>
      <bottom style="dashed">
        <color theme="9"/>
      </bottom>
      <diagonal/>
    </border>
    <border>
      <left style="dashed">
        <color theme="9"/>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right>
      <top style="dashed">
        <color theme="9" tint="-0.24994659260841701"/>
      </top>
      <bottom/>
      <diagonal/>
    </border>
    <border>
      <left style="dashed">
        <color theme="9"/>
      </left>
      <right style="dashed">
        <color theme="9" tint="-0.24994659260841701"/>
      </right>
      <top/>
      <bottom/>
      <diagonal/>
    </border>
    <border>
      <left style="dashed">
        <color theme="9"/>
      </left>
      <right style="dashed">
        <color theme="9" tint="-0.24994659260841701"/>
      </right>
      <top/>
      <bottom style="medium">
        <color theme="9"/>
      </bottom>
      <diagonal/>
    </border>
    <border>
      <left style="dashed">
        <color theme="9" tint="-0.24994659260841701"/>
      </left>
      <right style="dashed">
        <color theme="9" tint="-0.24994659260841701"/>
      </right>
      <top/>
      <bottom style="medium">
        <color theme="9"/>
      </bottom>
      <diagonal/>
    </border>
    <border>
      <left style="dashed">
        <color theme="9" tint="-0.24994659260841701"/>
      </left>
      <right style="dashed">
        <color theme="9"/>
      </right>
      <top/>
      <bottom style="medium">
        <color theme="9"/>
      </bottom>
      <diagonal/>
    </border>
    <border>
      <left style="dashed">
        <color theme="9" tint="-0.24994659260841701"/>
      </left>
      <right style="dashed">
        <color theme="9" tint="-0.24994659260841701"/>
      </right>
      <top style="dashed">
        <color theme="9" tint="-0.24994659260841701"/>
      </top>
      <bottom style="medium">
        <color theme="9"/>
      </bottom>
      <diagonal/>
    </border>
    <border>
      <left style="dashed">
        <color theme="9" tint="-0.24994659260841701"/>
      </left>
      <right style="dashed">
        <color theme="9"/>
      </right>
      <top style="dashed">
        <color theme="9" tint="-0.24994659260841701"/>
      </top>
      <bottom style="medium">
        <color theme="9"/>
      </bottom>
      <diagonal/>
    </border>
    <border>
      <left/>
      <right/>
      <top style="dashed">
        <color theme="9" tint="-0.24994659260841701"/>
      </top>
      <bottom style="medium">
        <color theme="9"/>
      </bottom>
      <diagonal/>
    </border>
    <border>
      <left/>
      <right style="dashed">
        <color theme="9" tint="-0.24994659260841701"/>
      </right>
      <top style="dashed">
        <color theme="9" tint="-0.24994659260841701"/>
      </top>
      <bottom style="medium">
        <color theme="9"/>
      </bottom>
      <diagonal/>
    </border>
    <border>
      <left style="dashed">
        <color theme="9"/>
      </left>
      <right style="dashed">
        <color theme="9" tint="-0.24994659260841701"/>
      </right>
      <top style="medium">
        <color theme="9"/>
      </top>
      <bottom/>
      <diagonal/>
    </border>
    <border>
      <left style="dashed">
        <color theme="9" tint="-0.24994659260841701"/>
      </left>
      <right style="dashed">
        <color theme="9" tint="-0.24994659260841701"/>
      </right>
      <top/>
      <bottom style="dashed">
        <color theme="9"/>
      </bottom>
      <diagonal/>
    </border>
    <border>
      <left style="dashed">
        <color theme="9" tint="-0.24994659260841701"/>
      </left>
      <right style="dashed">
        <color theme="9"/>
      </right>
      <top/>
      <bottom style="dashed">
        <color theme="9"/>
      </bottom>
      <diagonal/>
    </border>
    <border>
      <left/>
      <right/>
      <top/>
      <bottom style="dashed">
        <color theme="9"/>
      </bottom>
      <diagonal/>
    </border>
    <border>
      <left/>
      <right style="dashed">
        <color theme="9" tint="-0.24994659260841701"/>
      </right>
      <top/>
      <bottom style="dashed">
        <color theme="9"/>
      </bottom>
      <diagonal/>
    </border>
    <border>
      <left/>
      <right style="dashed">
        <color theme="9" tint="-0.24994659260841701"/>
      </right>
      <top/>
      <bottom/>
      <diagonal/>
    </border>
    <border>
      <left/>
      <right/>
      <top/>
      <bottom style="medium">
        <color theme="9"/>
      </bottom>
      <diagonal/>
    </border>
    <border>
      <left style="dashed">
        <color theme="9"/>
      </left>
      <right style="dashed">
        <color theme="9" tint="-0.24994659260841701"/>
      </right>
      <top style="dashed">
        <color theme="9"/>
      </top>
      <bottom style="medium">
        <color theme="9"/>
      </bottom>
      <diagonal/>
    </border>
    <border>
      <left style="dashed">
        <color theme="9" tint="-0.24994659260841701"/>
      </left>
      <right style="dashed">
        <color theme="9" tint="-0.24994659260841701"/>
      </right>
      <top style="dashed">
        <color theme="9"/>
      </top>
      <bottom style="medium">
        <color theme="9"/>
      </bottom>
      <diagonal/>
    </border>
    <border>
      <left style="dashed">
        <color theme="9" tint="-0.24994659260841701"/>
      </left>
      <right/>
      <top style="medium">
        <color theme="9"/>
      </top>
      <bottom style="medium">
        <color theme="9"/>
      </bottom>
      <diagonal/>
    </border>
    <border>
      <left style="dashed">
        <color theme="9"/>
      </left>
      <right style="dashed">
        <color theme="9" tint="-0.24994659260841701"/>
      </right>
      <top style="dashed">
        <color theme="9" tint="-0.24994659260841701"/>
      </top>
      <bottom/>
      <diagonal/>
    </border>
    <border>
      <left style="dashed">
        <color theme="9" tint="-0.24994659260841701"/>
      </left>
      <right style="dashed">
        <color theme="9"/>
      </right>
      <top style="medium">
        <color theme="9"/>
      </top>
      <bottom/>
      <diagonal/>
    </border>
    <border>
      <left style="dashed">
        <color theme="9" tint="-0.24994659260841701"/>
      </left>
      <right style="dashed">
        <color theme="9" tint="-0.24994659260841701"/>
      </right>
      <top style="medium">
        <color indexed="64"/>
      </top>
      <bottom style="medium">
        <color theme="9"/>
      </bottom>
      <diagonal/>
    </border>
    <border>
      <left style="dashed">
        <color theme="9" tint="-0.24994659260841701"/>
      </left>
      <right/>
      <top style="dashed">
        <color theme="9" tint="-0.24994659260841701"/>
      </top>
      <bottom style="medium">
        <color theme="9"/>
      </bottom>
      <diagonal/>
    </border>
    <border>
      <left/>
      <right style="dashed">
        <color theme="9" tint="-0.24994659260841701"/>
      </right>
      <top/>
      <bottom style="medium">
        <color theme="9"/>
      </bottom>
      <diagonal/>
    </border>
    <border>
      <left style="dashed">
        <color theme="9"/>
      </left>
      <right/>
      <top/>
      <bottom/>
      <diagonal/>
    </border>
    <border>
      <left style="dashed">
        <color theme="9"/>
      </left>
      <right/>
      <top/>
      <bottom style="medium">
        <color theme="9"/>
      </bottom>
      <diagonal/>
    </border>
    <border>
      <left style="dashed">
        <color theme="9" tint="-0.24994659260841701"/>
      </left>
      <right style="dashed">
        <color theme="9" tint="-0.24994659260841701"/>
      </right>
      <top style="dashed">
        <color theme="9"/>
      </top>
      <bottom style="dashed">
        <color theme="9"/>
      </bottom>
      <diagonal/>
    </border>
    <border>
      <left style="dashed">
        <color theme="9"/>
      </left>
      <right style="dashed">
        <color theme="9" tint="-0.24994659260841701"/>
      </right>
      <top style="medium">
        <color theme="9"/>
      </top>
      <bottom style="medium">
        <color theme="9"/>
      </bottom>
      <diagonal/>
    </border>
    <border>
      <left style="dashed">
        <color theme="9" tint="-0.24994659260841701"/>
      </left>
      <right style="dashed">
        <color theme="9"/>
      </right>
      <top style="medium">
        <color theme="9"/>
      </top>
      <bottom style="medium">
        <color theme="9"/>
      </bottom>
      <diagonal/>
    </border>
    <border>
      <left/>
      <right style="dashed">
        <color theme="9" tint="-0.24994659260841701"/>
      </right>
      <top style="medium">
        <color theme="9"/>
      </top>
      <bottom style="medium">
        <color theme="9"/>
      </bottom>
      <diagonal/>
    </border>
    <border>
      <left style="dashed">
        <color theme="9" tint="-0.24994659260841701"/>
      </left>
      <right style="dashed">
        <color theme="9" tint="-0.24994659260841701"/>
      </right>
      <top style="medium">
        <color theme="9"/>
      </top>
      <bottom style="medium">
        <color theme="9"/>
      </bottom>
      <diagonal/>
    </border>
    <border>
      <left style="dashed">
        <color rgb="FFE26B0A"/>
      </left>
      <right style="dashed">
        <color rgb="FFE26B0A"/>
      </right>
      <top style="dashed">
        <color rgb="FFE26B0A"/>
      </top>
      <bottom style="medium">
        <color rgb="FFF79646"/>
      </bottom>
      <diagonal/>
    </border>
    <border>
      <left/>
      <right style="dashed">
        <color rgb="FFE26B0A"/>
      </right>
      <top style="dashed">
        <color rgb="FFE26B0A"/>
      </top>
      <bottom style="medium">
        <color rgb="FFF79646"/>
      </bottom>
      <diagonal/>
    </border>
    <border>
      <left style="dashed">
        <color rgb="FFF79646"/>
      </left>
      <right style="dashed">
        <color rgb="FFF79646"/>
      </right>
      <top/>
      <bottom style="dashed">
        <color rgb="FFF79646"/>
      </bottom>
      <diagonal/>
    </border>
    <border>
      <left/>
      <right style="dashed">
        <color rgb="FFE26B0A"/>
      </right>
      <top/>
      <bottom style="dashed">
        <color rgb="FFE26B0A"/>
      </bottom>
      <diagonal/>
    </border>
    <border>
      <left style="dashed">
        <color rgb="FFE26B0A"/>
      </left>
      <right style="dashed">
        <color rgb="FFE26B0A"/>
      </right>
      <top style="dashed">
        <color rgb="FFF79646"/>
      </top>
      <bottom style="medium">
        <color rgb="FFF79646"/>
      </bottom>
      <diagonal/>
    </border>
    <border>
      <left/>
      <right style="dashed">
        <color rgb="FFE26B0A"/>
      </right>
      <top style="dashed">
        <color rgb="FFF79646"/>
      </top>
      <bottom style="medium">
        <color rgb="FFF79646"/>
      </bottom>
      <diagonal/>
    </border>
    <border>
      <left/>
      <right style="dashed">
        <color rgb="FFE26B0A"/>
      </right>
      <top/>
      <bottom style="medium">
        <color rgb="FFF79646"/>
      </bottom>
      <diagonal/>
    </border>
    <border>
      <left/>
      <right/>
      <top/>
      <bottom style="medium">
        <color rgb="FFF79646"/>
      </bottom>
      <diagonal/>
    </border>
    <border>
      <left style="dashed">
        <color rgb="FFF79646"/>
      </left>
      <right style="dashed">
        <color rgb="FFE26B0A"/>
      </right>
      <top style="dashed">
        <color rgb="FFF79646"/>
      </top>
      <bottom style="medium">
        <color rgb="FFF79646"/>
      </bottom>
      <diagonal/>
    </border>
    <border>
      <left style="dashed">
        <color rgb="FFE26B0A"/>
      </left>
      <right style="dashed">
        <color rgb="FFE26B0A"/>
      </right>
      <top style="medium">
        <color rgb="FFF79646"/>
      </top>
      <bottom style="medium">
        <color rgb="FFF79646"/>
      </bottom>
      <diagonal/>
    </border>
    <border>
      <left/>
      <right style="dashed">
        <color rgb="FFE26B0A"/>
      </right>
      <top style="medium">
        <color rgb="FFF79646"/>
      </top>
      <bottom style="medium">
        <color rgb="FFF79646"/>
      </bottom>
      <diagonal/>
    </border>
    <border>
      <left/>
      <right style="dashed">
        <color rgb="FFF79646"/>
      </right>
      <top style="medium">
        <color rgb="FFF79646"/>
      </top>
      <bottom style="medium">
        <color rgb="FFF79646"/>
      </bottom>
      <diagonal/>
    </border>
    <border>
      <left/>
      <right/>
      <top style="medium">
        <color rgb="FFF79646"/>
      </top>
      <bottom style="medium">
        <color rgb="FFF79646"/>
      </bottom>
      <diagonal/>
    </border>
    <border>
      <left style="dashed">
        <color rgb="FFF79646"/>
      </left>
      <right style="dashed">
        <color rgb="FFE26B0A"/>
      </right>
      <top style="medium">
        <color rgb="FFF79646"/>
      </top>
      <bottom style="medium">
        <color rgb="FFF7964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theme="9" tint="-0.24994659260841701"/>
      </left>
      <right style="dashed">
        <color theme="9" tint="-0.24994659260841701"/>
      </right>
      <top style="medium">
        <color theme="9"/>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832">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23" fillId="13" borderId="19" xfId="0" applyFont="1" applyFill="1" applyBorder="1" applyAlignment="1" applyProtection="1">
      <alignment horizontal="center" wrapText="1" readingOrder="1"/>
      <protection hidden="1"/>
    </xf>
    <xf numFmtId="0" fontId="0" fillId="3" borderId="0" xfId="0" applyFill="1"/>
    <xf numFmtId="0" fontId="48" fillId="3" borderId="47" xfId="2" applyFont="1" applyFill="1" applyBorder="1"/>
    <xf numFmtId="0" fontId="48" fillId="3" borderId="48" xfId="2" applyFont="1" applyFill="1" applyBorder="1"/>
    <xf numFmtId="0" fontId="48" fillId="3" borderId="49"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30" xfId="0" applyFont="1" applyFill="1" applyBorder="1" applyAlignment="1">
      <alignment horizontal="center" vertical="center" wrapText="1" readingOrder="1"/>
    </xf>
    <xf numFmtId="0" fontId="37" fillId="3" borderId="30" xfId="0" applyFont="1" applyFill="1" applyBorder="1" applyAlignment="1">
      <alignment horizontal="justify" vertical="center" wrapText="1" readingOrder="1"/>
    </xf>
    <xf numFmtId="9" fontId="36" fillId="3" borderId="39" xfId="0" applyNumberFormat="1" applyFont="1" applyFill="1" applyBorder="1" applyAlignment="1">
      <alignment horizontal="center" vertical="center" wrapText="1" readingOrder="1"/>
    </xf>
    <xf numFmtId="0" fontId="36" fillId="3" borderId="29" xfId="0" applyFont="1" applyFill="1" applyBorder="1" applyAlignment="1">
      <alignment horizontal="center" vertical="center" wrapText="1" readingOrder="1"/>
    </xf>
    <xf numFmtId="0" fontId="37" fillId="3" borderId="29" xfId="0" applyFont="1" applyFill="1" applyBorder="1" applyAlignment="1">
      <alignment horizontal="justify" vertical="center" wrapText="1" readingOrder="1"/>
    </xf>
    <xf numFmtId="9" fontId="36" fillId="3" borderId="34" xfId="0" applyNumberFormat="1"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6" fillId="3" borderId="36" xfId="0" applyFont="1" applyFill="1" applyBorder="1" applyAlignment="1">
      <alignment horizontal="center" vertical="center" wrapText="1" readingOrder="1"/>
    </xf>
    <xf numFmtId="0" fontId="37" fillId="3" borderId="36" xfId="0" applyFont="1" applyFill="1" applyBorder="1" applyAlignment="1">
      <alignment horizontal="justify" vertical="center" wrapText="1" readingOrder="1"/>
    </xf>
    <xf numFmtId="0" fontId="37" fillId="3" borderId="37" xfId="0" applyFont="1" applyFill="1" applyBorder="1" applyAlignment="1">
      <alignment horizontal="center" vertical="center" wrapText="1" readingOrder="1"/>
    </xf>
    <xf numFmtId="0" fontId="45" fillId="3" borderId="0" xfId="0" applyFont="1" applyFill="1"/>
    <xf numFmtId="0" fontId="36" fillId="15" borderId="41" xfId="0" applyFont="1" applyFill="1" applyBorder="1" applyAlignment="1">
      <alignment horizontal="center" vertical="center" wrapText="1" readingOrder="1"/>
    </xf>
    <xf numFmtId="0" fontId="36" fillId="15" borderId="42"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15" xfId="2" applyFont="1" applyFill="1" applyBorder="1"/>
    <xf numFmtId="0" fontId="48" fillId="3" borderId="16" xfId="2" applyFont="1" applyFill="1" applyBorder="1"/>
    <xf numFmtId="0" fontId="48" fillId="3" borderId="18" xfId="2" applyFont="1" applyFill="1" applyBorder="1"/>
    <xf numFmtId="0" fontId="48" fillId="3" borderId="17"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1" fillId="3" borderId="0" xfId="0" applyFont="1" applyFill="1" applyAlignment="1">
      <alignment horizontal="left" vertical="center"/>
    </xf>
    <xf numFmtId="0" fontId="59" fillId="3" borderId="0" xfId="0" applyFont="1" applyFill="1" applyAlignment="1">
      <alignment horizontal="left" vertical="center"/>
    </xf>
    <xf numFmtId="0" fontId="24" fillId="3" borderId="0" xfId="0" applyFont="1" applyFill="1" applyAlignment="1">
      <alignment vertical="center"/>
    </xf>
    <xf numFmtId="0" fontId="7" fillId="3" borderId="0" xfId="0" applyFont="1" applyFill="1" applyAlignment="1" applyProtection="1">
      <alignment horizontal="left" vertical="center"/>
      <protection locked="0"/>
    </xf>
    <xf numFmtId="0" fontId="0" fillId="0" borderId="2" xfId="0" applyBorder="1" applyAlignment="1">
      <alignment horizontal="center" vertical="center"/>
    </xf>
    <xf numFmtId="0" fontId="0" fillId="0" borderId="2" xfId="0" applyBorder="1" applyAlignment="1" applyProtection="1">
      <alignment horizontal="center" vertical="center" textRotation="90"/>
      <protection locked="0"/>
    </xf>
    <xf numFmtId="9" fontId="0" fillId="0" borderId="2" xfId="0" applyNumberFormat="1" applyBorder="1" applyAlignment="1" applyProtection="1">
      <alignment horizontal="center" vertical="center"/>
      <protection hidden="1"/>
    </xf>
    <xf numFmtId="164" fontId="0"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0" fillId="0" borderId="4" xfId="0" applyNumberFormat="1" applyBorder="1" applyAlignment="1" applyProtection="1">
      <alignment horizontal="center" vertical="center"/>
      <protection hidden="1"/>
    </xf>
    <xf numFmtId="0" fontId="58" fillId="0" borderId="2" xfId="0" applyFont="1" applyBorder="1" applyAlignment="1" applyProtection="1">
      <alignment horizontal="center" vertical="center" textRotation="90"/>
      <protection hidden="1"/>
    </xf>
    <xf numFmtId="0" fontId="0" fillId="0" borderId="4" xfId="0" applyBorder="1" applyAlignment="1" applyProtection="1">
      <alignment horizontal="center" vertical="center" textRotation="90"/>
      <protection locked="0"/>
    </xf>
    <xf numFmtId="0" fontId="0" fillId="0" borderId="2" xfId="0" applyBorder="1" applyAlignment="1" applyProtection="1">
      <alignment horizontal="center" vertical="center" wrapText="1"/>
      <protection locked="0"/>
    </xf>
    <xf numFmtId="0" fontId="0" fillId="0" borderId="6" xfId="0" applyBorder="1" applyAlignment="1">
      <alignment horizontal="center" vertical="center"/>
    </xf>
    <xf numFmtId="0" fontId="57" fillId="16" borderId="28" xfId="0" applyFont="1" applyFill="1" applyBorder="1" applyAlignment="1">
      <alignment vertical="center"/>
    </xf>
    <xf numFmtId="0" fontId="4" fillId="0" borderId="0" xfId="0" applyFont="1" applyAlignment="1">
      <alignment horizontal="center" vertical="center"/>
    </xf>
    <xf numFmtId="0" fontId="15" fillId="0" borderId="4" xfId="0" applyFont="1" applyBorder="1" applyAlignment="1" applyProtection="1">
      <alignment horizontal="center" vertical="center" wrapText="1"/>
      <protection locked="0"/>
    </xf>
    <xf numFmtId="0" fontId="58" fillId="3" borderId="0" xfId="0" applyFont="1" applyFill="1"/>
    <xf numFmtId="0" fontId="24" fillId="3" borderId="0" xfId="0" applyFont="1" applyFill="1" applyAlignment="1">
      <alignment horizontal="center" vertical="center"/>
    </xf>
    <xf numFmtId="0" fontId="57" fillId="16" borderId="3" xfId="0" applyFont="1" applyFill="1" applyBorder="1" applyAlignment="1">
      <alignment horizontal="center" vertical="center"/>
    </xf>
    <xf numFmtId="0" fontId="7" fillId="3" borderId="0" xfId="0" applyFont="1" applyFill="1" applyAlignment="1" applyProtection="1">
      <alignment horizontal="center" vertical="center"/>
      <protection locked="0"/>
    </xf>
    <xf numFmtId="0" fontId="57" fillId="16" borderId="28" xfId="0" applyFont="1" applyFill="1" applyBorder="1" applyAlignment="1">
      <alignment horizontal="center" vertical="center"/>
    </xf>
    <xf numFmtId="0" fontId="57" fillId="18" borderId="8" xfId="0" applyFont="1" applyFill="1" applyBorder="1" applyAlignment="1">
      <alignment horizontal="center" vertical="center" wrapText="1"/>
    </xf>
    <xf numFmtId="0" fontId="0" fillId="0" borderId="71" xfId="0" applyBorder="1" applyAlignment="1" applyProtection="1">
      <alignment horizontal="center" vertical="center"/>
      <protection locked="0"/>
    </xf>
    <xf numFmtId="0" fontId="58" fillId="0" borderId="71" xfId="0" applyFont="1" applyBorder="1" applyAlignment="1" applyProtection="1">
      <alignment horizontal="center" vertical="center" wrapText="1"/>
      <protection hidden="1"/>
    </xf>
    <xf numFmtId="9" fontId="0" fillId="0" borderId="71" xfId="0" applyNumberFormat="1" applyBorder="1" applyAlignment="1" applyProtection="1">
      <alignment horizontal="center" vertical="center" wrapText="1"/>
      <protection hidden="1"/>
    </xf>
    <xf numFmtId="9" fontId="0" fillId="0" borderId="71" xfId="0" applyNumberFormat="1" applyBorder="1" applyAlignment="1" applyProtection="1">
      <alignment vertical="center" wrapText="1"/>
      <protection locked="0"/>
    </xf>
    <xf numFmtId="9" fontId="0" fillId="0" borderId="71" xfId="0" applyNumberFormat="1" applyBorder="1" applyAlignment="1" applyProtection="1">
      <alignment vertical="center" wrapText="1"/>
      <protection hidden="1"/>
    </xf>
    <xf numFmtId="0" fontId="0" fillId="0" borderId="71" xfId="0" applyBorder="1" applyAlignment="1" applyProtection="1">
      <alignment horizontal="center" vertical="center"/>
      <protection hidden="1"/>
    </xf>
    <xf numFmtId="0" fontId="0" fillId="0" borderId="71" xfId="0" applyBorder="1" applyAlignment="1" applyProtection="1">
      <alignment horizontal="center" vertical="center" textRotation="90"/>
      <protection locked="0"/>
    </xf>
    <xf numFmtId="9" fontId="0" fillId="0" borderId="71" xfId="0" applyNumberFormat="1" applyBorder="1" applyAlignment="1" applyProtection="1">
      <alignment horizontal="center" vertical="center"/>
      <protection hidden="1"/>
    </xf>
    <xf numFmtId="164" fontId="0" fillId="0" borderId="71" xfId="1" applyNumberFormat="1" applyFont="1" applyBorder="1" applyAlignment="1">
      <alignment horizontal="center" vertical="center"/>
    </xf>
    <xf numFmtId="0" fontId="58" fillId="0" borderId="71" xfId="0" applyFont="1" applyBorder="1" applyAlignment="1" applyProtection="1">
      <alignment horizontal="center" vertical="center" textRotation="90" wrapText="1"/>
      <protection hidden="1"/>
    </xf>
    <xf numFmtId="0" fontId="58" fillId="0" borderId="71" xfId="0" applyFont="1" applyBorder="1" applyAlignment="1" applyProtection="1">
      <alignment horizontal="center" vertical="center" textRotation="90"/>
      <protection hidden="1"/>
    </xf>
    <xf numFmtId="0" fontId="0" fillId="0" borderId="5" xfId="0" applyBorder="1" applyAlignment="1" applyProtection="1">
      <alignment horizontal="center" vertical="center"/>
      <protection locked="0"/>
    </xf>
    <xf numFmtId="0" fontId="58" fillId="0" borderId="8" xfId="0" applyFont="1" applyBorder="1" applyAlignment="1" applyProtection="1">
      <alignment horizontal="center" vertical="center" wrapText="1"/>
      <protection hidden="1"/>
    </xf>
    <xf numFmtId="0" fontId="58" fillId="0" borderId="71" xfId="0" applyFont="1" applyBorder="1" applyAlignment="1" applyProtection="1">
      <alignment horizontal="center" vertical="center"/>
      <protection hidden="1"/>
    </xf>
    <xf numFmtId="0" fontId="0" fillId="0" borderId="71" xfId="0" applyBorder="1" applyAlignment="1">
      <alignment horizontal="center" vertical="center"/>
    </xf>
    <xf numFmtId="0" fontId="0" fillId="0" borderId="71" xfId="0" applyBorder="1" applyAlignment="1" applyProtection="1">
      <alignment horizontal="center" vertical="center" wrapText="1"/>
      <protection locked="0"/>
    </xf>
    <xf numFmtId="0" fontId="0" fillId="0" borderId="71" xfId="0" applyBorder="1" applyAlignment="1" applyProtection="1">
      <alignment vertical="center" wrapText="1"/>
      <protection locked="0"/>
    </xf>
    <xf numFmtId="0" fontId="0" fillId="0" borderId="72" xfId="0" applyBorder="1" applyAlignment="1" applyProtection="1">
      <alignment vertical="center" wrapText="1"/>
      <protection locked="0"/>
    </xf>
    <xf numFmtId="0" fontId="46" fillId="19" borderId="71" xfId="0" applyFont="1" applyFill="1" applyBorder="1" applyAlignment="1" applyProtection="1">
      <alignment horizontal="center" vertical="center" wrapText="1"/>
      <protection locked="0"/>
    </xf>
    <xf numFmtId="9" fontId="0" fillId="0" borderId="4" xfId="0" applyNumberForma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7" fillId="18" borderId="4" xfId="0" applyFont="1" applyFill="1" applyBorder="1" applyAlignment="1">
      <alignment horizontal="center" vertical="center" textRotation="90" wrapText="1"/>
    </xf>
    <xf numFmtId="0" fontId="58" fillId="0" borderId="4" xfId="0" applyFont="1" applyBorder="1" applyAlignment="1" applyProtection="1">
      <alignment horizontal="center" vertical="center" wrapText="1"/>
      <protection hidden="1"/>
    </xf>
    <xf numFmtId="0" fontId="0" fillId="0" borderId="8" xfId="0"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0" borderId="81" xfId="0" applyBorder="1" applyAlignment="1">
      <alignment horizontal="center" vertical="center" wrapText="1"/>
    </xf>
    <xf numFmtId="0" fontId="0" fillId="0" borderId="81" xfId="0" applyBorder="1" applyAlignment="1" applyProtection="1">
      <alignment horizontal="center" vertical="center" wrapText="1"/>
      <protection locked="0"/>
    </xf>
    <xf numFmtId="0" fontId="46" fillId="0" borderId="72" xfId="0" applyFont="1" applyBorder="1" applyAlignment="1">
      <alignment horizontal="center" vertical="center" wrapText="1"/>
    </xf>
    <xf numFmtId="0" fontId="15" fillId="0" borderId="81" xfId="0" applyFont="1"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72" xfId="0" applyBorder="1" applyAlignment="1" applyProtection="1">
      <alignment horizontal="center" vertical="center"/>
      <protection locked="0"/>
    </xf>
    <xf numFmtId="0" fontId="58" fillId="0" borderId="72" xfId="0" applyFont="1" applyBorder="1" applyAlignment="1" applyProtection="1">
      <alignment horizontal="center" vertical="center" wrapText="1"/>
      <protection hidden="1"/>
    </xf>
    <xf numFmtId="9" fontId="0" fillId="0" borderId="72" xfId="0" applyNumberFormat="1" applyBorder="1" applyAlignment="1" applyProtection="1">
      <alignment horizontal="center" vertical="center" wrapText="1"/>
      <protection hidden="1"/>
    </xf>
    <xf numFmtId="9" fontId="0" fillId="0" borderId="72" xfId="0" applyNumberFormat="1" applyBorder="1" applyAlignment="1" applyProtection="1">
      <alignment vertical="center" wrapText="1"/>
      <protection locked="0"/>
    </xf>
    <xf numFmtId="9" fontId="0" fillId="0" borderId="72" xfId="0" applyNumberFormat="1" applyBorder="1" applyAlignment="1" applyProtection="1">
      <alignment vertical="center" wrapText="1"/>
      <protection hidden="1"/>
    </xf>
    <xf numFmtId="0" fontId="58" fillId="0" borderId="72" xfId="0" applyFont="1" applyBorder="1" applyAlignment="1" applyProtection="1">
      <alignment horizontal="center" vertical="center"/>
      <protection hidden="1"/>
    </xf>
    <xf numFmtId="0" fontId="0" fillId="0" borderId="72" xfId="0" applyBorder="1" applyAlignment="1">
      <alignment horizontal="center" vertical="center"/>
    </xf>
    <xf numFmtId="0" fontId="0" fillId="0" borderId="72" xfId="0" applyBorder="1" applyAlignment="1" applyProtection="1">
      <alignment horizontal="center" vertical="center" textRotation="90"/>
      <protection locked="0"/>
    </xf>
    <xf numFmtId="9" fontId="0" fillId="0" borderId="72" xfId="0" applyNumberFormat="1" applyBorder="1" applyAlignment="1" applyProtection="1">
      <alignment horizontal="center" vertical="center"/>
      <protection hidden="1"/>
    </xf>
    <xf numFmtId="164" fontId="0" fillId="0" borderId="72" xfId="1" applyNumberFormat="1" applyFont="1" applyBorder="1" applyAlignment="1">
      <alignment horizontal="center" vertical="center"/>
    </xf>
    <xf numFmtId="0" fontId="58" fillId="0" borderId="72" xfId="0" applyFont="1" applyBorder="1" applyAlignment="1" applyProtection="1">
      <alignment horizontal="center" vertical="center" textRotation="90" wrapText="1"/>
      <protection hidden="1"/>
    </xf>
    <xf numFmtId="0" fontId="58" fillId="0" borderId="72" xfId="0" applyFont="1" applyBorder="1" applyAlignment="1" applyProtection="1">
      <alignment horizontal="center" vertical="center" textRotation="90"/>
      <protection hidden="1"/>
    </xf>
    <xf numFmtId="0" fontId="0" fillId="0" borderId="74" xfId="0" applyBorder="1" applyAlignment="1" applyProtection="1">
      <alignment horizontal="center" vertical="center" wrapText="1"/>
      <protection locked="0"/>
    </xf>
    <xf numFmtId="9" fontId="0" fillId="0" borderId="72" xfId="0" applyNumberFormat="1" applyBorder="1" applyAlignment="1" applyProtection="1">
      <alignment horizontal="center" vertical="center" wrapText="1"/>
      <protection locked="0"/>
    </xf>
    <xf numFmtId="0" fontId="58" fillId="0" borderId="74" xfId="0" applyFont="1" applyBorder="1" applyAlignment="1" applyProtection="1">
      <alignment horizontal="center" vertical="center" wrapText="1"/>
      <protection hidden="1"/>
    </xf>
    <xf numFmtId="9" fontId="0" fillId="0" borderId="74" xfId="0" applyNumberFormat="1" applyBorder="1" applyAlignment="1" applyProtection="1">
      <alignment horizontal="center" vertical="center" wrapText="1"/>
      <protection hidden="1"/>
    </xf>
    <xf numFmtId="9" fontId="0" fillId="0" borderId="74" xfId="0" applyNumberFormat="1" applyBorder="1" applyAlignment="1" applyProtection="1">
      <alignment vertical="center" wrapText="1"/>
      <protection locked="0"/>
    </xf>
    <xf numFmtId="9" fontId="0" fillId="0" borderId="74" xfId="0" applyNumberFormat="1" applyBorder="1" applyAlignment="1" applyProtection="1">
      <alignment vertical="center" wrapText="1"/>
      <protection hidden="1"/>
    </xf>
    <xf numFmtId="0" fontId="58" fillId="0" borderId="74" xfId="0" applyFont="1" applyBorder="1" applyAlignment="1" applyProtection="1">
      <alignment horizontal="center" vertical="center" textRotation="90" wrapText="1"/>
      <protection hidden="1"/>
    </xf>
    <xf numFmtId="0" fontId="46" fillId="19" borderId="74" xfId="0" applyFont="1" applyFill="1" applyBorder="1" applyAlignment="1" applyProtection="1">
      <alignment horizontal="center" vertical="center" wrapText="1"/>
      <protection locked="0"/>
    </xf>
    <xf numFmtId="9" fontId="0" fillId="0" borderId="74" xfId="0" applyNumberFormat="1" applyBorder="1" applyAlignment="1" applyProtection="1">
      <alignment horizontal="center" vertical="center" wrapText="1"/>
      <protection locked="0"/>
    </xf>
    <xf numFmtId="0" fontId="46" fillId="19" borderId="81" xfId="0" applyFont="1" applyFill="1" applyBorder="1" applyAlignment="1" applyProtection="1">
      <alignment horizontal="center" vertical="center" wrapText="1"/>
      <protection locked="0"/>
    </xf>
    <xf numFmtId="0" fontId="58" fillId="0" borderId="81" xfId="0" applyFont="1" applyBorder="1" applyAlignment="1" applyProtection="1">
      <alignment horizontal="center" vertical="center" wrapText="1"/>
      <protection hidden="1"/>
    </xf>
    <xf numFmtId="9" fontId="0" fillId="0" borderId="81" xfId="0" applyNumberFormat="1" applyBorder="1" applyAlignment="1" applyProtection="1">
      <alignment horizontal="center" vertical="center" wrapText="1"/>
      <protection hidden="1"/>
    </xf>
    <xf numFmtId="9" fontId="0" fillId="0" borderId="81" xfId="0" applyNumberFormat="1" applyBorder="1" applyAlignment="1" applyProtection="1">
      <alignment vertical="center" wrapText="1"/>
      <protection locked="0"/>
    </xf>
    <xf numFmtId="9" fontId="0" fillId="0" borderId="81" xfId="0" applyNumberFormat="1" applyBorder="1" applyAlignment="1" applyProtection="1">
      <alignment vertical="center" wrapText="1"/>
      <protection hidden="1"/>
    </xf>
    <xf numFmtId="0" fontId="0" fillId="0" borderId="81" xfId="0" applyBorder="1" applyAlignment="1" applyProtection="1">
      <alignment horizontal="center" vertical="center" textRotation="90"/>
      <protection locked="0"/>
    </xf>
    <xf numFmtId="9" fontId="0" fillId="0" borderId="81" xfId="0" applyNumberFormat="1" applyBorder="1" applyAlignment="1" applyProtection="1">
      <alignment horizontal="center" vertical="center"/>
      <protection hidden="1"/>
    </xf>
    <xf numFmtId="0" fontId="58" fillId="0" borderId="81" xfId="0" applyFont="1" applyBorder="1" applyAlignment="1" applyProtection="1">
      <alignment horizontal="center" vertical="center" textRotation="90" wrapText="1"/>
      <protection hidden="1"/>
    </xf>
    <xf numFmtId="0" fontId="46" fillId="0" borderId="92" xfId="0" applyFont="1" applyBorder="1" applyAlignment="1">
      <alignment horizontal="center" vertical="center" wrapText="1"/>
    </xf>
    <xf numFmtId="9" fontId="15" fillId="0" borderId="93" xfId="0" applyNumberFormat="1" applyFont="1" applyBorder="1" applyAlignment="1" applyProtection="1">
      <alignment horizontal="center" vertical="center" wrapText="1"/>
      <protection locked="0"/>
    </xf>
    <xf numFmtId="0" fontId="0" fillId="0" borderId="94" xfId="0" applyBorder="1" applyAlignment="1">
      <alignment horizontal="center" vertical="center" wrapText="1"/>
    </xf>
    <xf numFmtId="0" fontId="0" fillId="0" borderId="94" xfId="0" applyBorder="1" applyAlignment="1" applyProtection="1">
      <alignment horizontal="center" vertical="center" wrapText="1"/>
      <protection locked="0"/>
    </xf>
    <xf numFmtId="0" fontId="46" fillId="19" borderId="94" xfId="0" applyFont="1" applyFill="1" applyBorder="1" applyAlignment="1" applyProtection="1">
      <alignment horizontal="center" vertical="center" wrapText="1"/>
      <protection locked="0"/>
    </xf>
    <xf numFmtId="0" fontId="15" fillId="0" borderId="94" xfId="0" applyFont="1" applyBorder="1" applyAlignment="1" applyProtection="1">
      <alignment horizontal="center" vertical="center" wrapText="1"/>
      <protection locked="0"/>
    </xf>
    <xf numFmtId="0" fontId="58" fillId="0" borderId="94" xfId="0" applyFont="1" applyBorder="1" applyAlignment="1" applyProtection="1">
      <alignment horizontal="center" vertical="center" wrapText="1"/>
      <protection hidden="1"/>
    </xf>
    <xf numFmtId="9" fontId="0" fillId="0" borderId="94" xfId="0" applyNumberFormat="1" applyBorder="1" applyAlignment="1" applyProtection="1">
      <alignment horizontal="center" vertical="center" wrapText="1"/>
      <protection hidden="1"/>
    </xf>
    <xf numFmtId="9" fontId="0" fillId="0" borderId="94" xfId="0" applyNumberFormat="1" applyBorder="1" applyAlignment="1" applyProtection="1">
      <alignment vertical="center" wrapText="1"/>
      <protection locked="0"/>
    </xf>
    <xf numFmtId="9" fontId="0" fillId="0" borderId="94" xfId="0" applyNumberFormat="1" applyBorder="1" applyAlignment="1" applyProtection="1">
      <alignment vertical="center" wrapText="1"/>
      <protection hidden="1"/>
    </xf>
    <xf numFmtId="0" fontId="46" fillId="0" borderId="94" xfId="0" applyFont="1" applyBorder="1" applyAlignment="1">
      <alignment horizontal="center" vertical="center" wrapText="1"/>
    </xf>
    <xf numFmtId="0" fontId="58" fillId="0" borderId="94" xfId="0" applyFont="1" applyBorder="1" applyAlignment="1" applyProtection="1">
      <alignment horizontal="center" vertical="center" textRotation="90" wrapText="1"/>
      <protection hidden="1"/>
    </xf>
    <xf numFmtId="0" fontId="1" fillId="3" borderId="0" xfId="0" applyFont="1" applyFill="1" applyAlignment="1">
      <alignment horizontal="center" vertical="center" wrapText="1"/>
    </xf>
    <xf numFmtId="0" fontId="59" fillId="3" borderId="0" xfId="0" applyFont="1" applyFill="1" applyAlignment="1">
      <alignment horizontal="left" vertical="center" wrapText="1"/>
    </xf>
    <xf numFmtId="0" fontId="57" fillId="16" borderId="28" xfId="0" applyFont="1" applyFill="1" applyBorder="1" applyAlignment="1">
      <alignment vertical="center" wrapText="1"/>
    </xf>
    <xf numFmtId="0" fontId="1" fillId="0" borderId="0" xfId="0" applyFont="1" applyAlignment="1">
      <alignment horizontal="center" vertical="center" wrapText="1"/>
    </xf>
    <xf numFmtId="0" fontId="46" fillId="0" borderId="71" xfId="0" applyFont="1" applyBorder="1" applyAlignment="1">
      <alignment horizontal="center" vertical="center" wrapText="1"/>
    </xf>
    <xf numFmtId="0" fontId="61" fillId="0" borderId="94" xfId="0" applyFont="1" applyBorder="1" applyAlignment="1">
      <alignment horizontal="center" vertical="center" wrapText="1"/>
    </xf>
    <xf numFmtId="0" fontId="0" fillId="0" borderId="95" xfId="0" applyBorder="1" applyAlignment="1" applyProtection="1">
      <alignment horizontal="center" vertical="center" wrapText="1"/>
      <protection locked="0"/>
    </xf>
    <xf numFmtId="0" fontId="62" fillId="0" borderId="94" xfId="0" applyFont="1" applyBorder="1" applyAlignment="1" applyProtection="1">
      <alignment horizontal="center" vertical="center" wrapText="1"/>
      <protection locked="0"/>
    </xf>
    <xf numFmtId="0" fontId="1" fillId="3" borderId="0" xfId="0" applyFont="1" applyFill="1" applyAlignment="1">
      <alignment horizontal="center" wrapText="1"/>
    </xf>
    <xf numFmtId="0" fontId="4" fillId="3" borderId="0" xfId="0" applyFont="1" applyFill="1" applyAlignment="1">
      <alignment horizontal="center" vertical="center" wrapText="1"/>
    </xf>
    <xf numFmtId="0" fontId="0" fillId="0" borderId="74" xfId="0" applyBorder="1" applyAlignment="1">
      <alignment horizontal="center" vertical="center" wrapText="1"/>
    </xf>
    <xf numFmtId="0" fontId="0" fillId="0" borderId="74" xfId="0" applyBorder="1" applyAlignment="1" applyProtection="1">
      <alignment horizontal="center" vertical="center" wrapText="1"/>
      <protection hidden="1"/>
    </xf>
    <xf numFmtId="0" fontId="0" fillId="0" borderId="74" xfId="0" applyBorder="1" applyAlignment="1" applyProtection="1">
      <alignment horizontal="center" vertical="center" textRotation="90" wrapText="1"/>
      <protection locked="0"/>
    </xf>
    <xf numFmtId="164" fontId="0" fillId="0" borderId="74" xfId="1" applyNumberFormat="1" applyFont="1" applyBorder="1" applyAlignment="1">
      <alignment horizontal="center" vertical="center" wrapText="1"/>
    </xf>
    <xf numFmtId="0" fontId="0" fillId="0" borderId="91" xfId="0" applyBorder="1" applyAlignment="1" applyProtection="1">
      <alignment horizontal="center" vertical="center" wrapText="1"/>
      <protection hidden="1"/>
    </xf>
    <xf numFmtId="0" fontId="0" fillId="0" borderId="81" xfId="0" applyBorder="1" applyAlignment="1" applyProtection="1">
      <alignment horizontal="center" vertical="center" textRotation="90" wrapText="1"/>
      <protection locked="0"/>
    </xf>
    <xf numFmtId="164" fontId="0" fillId="0" borderId="81" xfId="1" applyNumberFormat="1" applyFont="1" applyBorder="1" applyAlignment="1">
      <alignment horizontal="center" vertical="center" wrapText="1"/>
    </xf>
    <xf numFmtId="0" fontId="0" fillId="0" borderId="95" xfId="0" applyBorder="1" applyAlignment="1" applyProtection="1">
      <alignment horizontal="center" vertical="center" wrapText="1"/>
      <protection hidden="1"/>
    </xf>
    <xf numFmtId="0" fontId="0" fillId="0" borderId="94" xfId="0" applyBorder="1" applyAlignment="1" applyProtection="1">
      <alignment horizontal="center" vertical="center" textRotation="90" wrapText="1"/>
      <protection locked="0"/>
    </xf>
    <xf numFmtId="164" fontId="0" fillId="0" borderId="94" xfId="1" applyNumberFormat="1" applyFont="1" applyBorder="1" applyAlignment="1">
      <alignment horizontal="center" vertical="center" wrapText="1"/>
    </xf>
    <xf numFmtId="0" fontId="62" fillId="0" borderId="96" xfId="0" applyFont="1" applyBorder="1" applyAlignment="1" applyProtection="1">
      <alignment horizontal="center" vertical="center" wrapText="1"/>
      <protection locked="0"/>
    </xf>
    <xf numFmtId="0" fontId="0" fillId="0" borderId="94" xfId="0" applyBorder="1" applyAlignment="1">
      <alignment vertical="center" wrapText="1"/>
    </xf>
    <xf numFmtId="0" fontId="0" fillId="0" borderId="97" xfId="0" applyBorder="1" applyAlignment="1" applyProtection="1">
      <alignment horizontal="center" vertical="center" textRotation="90" wrapText="1"/>
      <protection locked="0"/>
    </xf>
    <xf numFmtId="0" fontId="15" fillId="0" borderId="76" xfId="0" applyFont="1" applyBorder="1" applyAlignment="1">
      <alignment horizontal="center" vertical="center"/>
    </xf>
    <xf numFmtId="0" fontId="0" fillId="0" borderId="98" xfId="0" applyBorder="1" applyAlignment="1">
      <alignment vertical="center" wrapText="1"/>
    </xf>
    <xf numFmtId="0" fontId="0" fillId="0" borderId="98" xfId="0" applyBorder="1" applyAlignment="1">
      <alignment horizontal="center" vertical="center" wrapText="1"/>
    </xf>
    <xf numFmtId="0" fontId="0" fillId="0" borderId="98" xfId="0" applyBorder="1" applyAlignment="1" applyProtection="1">
      <alignment vertical="center" wrapText="1"/>
      <protection locked="0"/>
    </xf>
    <xf numFmtId="0" fontId="0" fillId="0" borderId="99" xfId="0" applyBorder="1" applyAlignment="1" applyProtection="1">
      <alignment horizontal="center" vertical="center" wrapText="1"/>
      <protection locked="0"/>
    </xf>
    <xf numFmtId="0" fontId="46" fillId="0" borderId="71" xfId="0" applyFont="1" applyBorder="1" applyAlignment="1" applyProtection="1">
      <alignment horizontal="center" vertical="center" wrapText="1"/>
      <protection locked="0"/>
    </xf>
    <xf numFmtId="0" fontId="15" fillId="0" borderId="98" xfId="0" applyFont="1" applyBorder="1" applyAlignment="1" applyProtection="1">
      <alignment horizontal="center" vertical="center" wrapText="1"/>
      <protection locked="0"/>
    </xf>
    <xf numFmtId="0" fontId="15" fillId="0" borderId="99" xfId="0" applyFont="1" applyBorder="1" applyAlignment="1" applyProtection="1">
      <alignment horizontal="center" vertical="center" wrapText="1"/>
      <protection locked="0"/>
    </xf>
    <xf numFmtId="0" fontId="15" fillId="0" borderId="100" xfId="0" applyFont="1" applyBorder="1" applyAlignment="1" applyProtection="1">
      <alignment horizontal="center" vertical="center" wrapText="1"/>
      <protection locked="0"/>
    </xf>
    <xf numFmtId="0" fontId="46" fillId="19" borderId="101" xfId="0" applyFont="1" applyFill="1" applyBorder="1" applyAlignment="1" applyProtection="1">
      <alignment horizontal="center" vertical="center" wrapText="1"/>
      <protection locked="0"/>
    </xf>
    <xf numFmtId="0" fontId="0" fillId="0" borderId="102" xfId="0" applyBorder="1" applyAlignment="1" applyProtection="1">
      <alignment horizontal="center" vertical="center" wrapText="1"/>
      <protection locked="0"/>
    </xf>
    <xf numFmtId="9" fontId="0" fillId="0" borderId="4" xfId="0" applyNumberFormat="1" applyBorder="1" applyAlignment="1" applyProtection="1">
      <alignment vertical="center" wrapText="1"/>
      <protection locked="0"/>
    </xf>
    <xf numFmtId="9" fontId="0" fillId="0" borderId="4" xfId="0" applyNumberFormat="1" applyBorder="1" applyAlignment="1" applyProtection="1">
      <alignment vertical="center" wrapText="1"/>
      <protection hidden="1"/>
    </xf>
    <xf numFmtId="0" fontId="0" fillId="0" borderId="7" xfId="0" applyBorder="1" applyAlignment="1" applyProtection="1">
      <alignment horizontal="center" vertical="center"/>
      <protection hidden="1"/>
    </xf>
    <xf numFmtId="0" fontId="15" fillId="0" borderId="103" xfId="0" applyFont="1" applyBorder="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9" xfId="0" applyBorder="1" applyAlignment="1" applyProtection="1">
      <alignment horizontal="center" vertical="center" wrapText="1"/>
      <protection locked="0"/>
    </xf>
    <xf numFmtId="0" fontId="0" fillId="0" borderId="106" xfId="0" applyBorder="1" applyAlignment="1" applyProtection="1">
      <alignment horizontal="center" vertical="center" wrapText="1"/>
      <protection locked="0"/>
    </xf>
    <xf numFmtId="0" fontId="46" fillId="19" borderId="72" xfId="0" applyFont="1" applyFill="1" applyBorder="1" applyAlignment="1" applyProtection="1">
      <alignment horizontal="center" vertical="center" wrapText="1"/>
      <protection locked="0"/>
    </xf>
    <xf numFmtId="0" fontId="15" fillId="0" borderId="108" xfId="0" applyFont="1" applyBorder="1" applyAlignment="1" applyProtection="1">
      <alignment horizontal="center" vertical="center" wrapText="1"/>
      <protection locked="0"/>
    </xf>
    <xf numFmtId="0" fontId="15" fillId="0" borderId="109" xfId="0" applyFont="1" applyBorder="1" applyAlignment="1" applyProtection="1">
      <alignment horizontal="center" vertical="center" wrapText="1"/>
      <protection locked="0"/>
    </xf>
    <xf numFmtId="0" fontId="15" fillId="0" borderId="110" xfId="0" applyFont="1" applyBorder="1" applyAlignment="1" applyProtection="1">
      <alignment horizontal="center" vertical="center" wrapText="1"/>
      <protection locked="0"/>
    </xf>
    <xf numFmtId="0" fontId="0" fillId="0" borderId="111" xfId="0" applyBorder="1" applyAlignment="1" applyProtection="1">
      <alignment horizontal="center" vertical="center" wrapText="1"/>
      <protection locked="0"/>
    </xf>
    <xf numFmtId="0" fontId="0" fillId="0" borderId="106" xfId="0" applyBorder="1" applyAlignment="1" applyProtection="1">
      <alignment horizontal="center" vertical="center"/>
      <protection locked="0"/>
    </xf>
    <xf numFmtId="0" fontId="58" fillId="0" borderId="108" xfId="0" applyFont="1" applyBorder="1" applyAlignment="1" applyProtection="1">
      <alignment horizontal="center" vertical="center" wrapText="1"/>
      <protection hidden="1"/>
    </xf>
    <xf numFmtId="9" fontId="0" fillId="0" borderId="108" xfId="0" applyNumberFormat="1" applyBorder="1" applyAlignment="1" applyProtection="1">
      <alignment horizontal="center" vertical="center" wrapText="1"/>
      <protection hidden="1"/>
    </xf>
    <xf numFmtId="9" fontId="0" fillId="0" borderId="108" xfId="0" applyNumberFormat="1" applyBorder="1" applyAlignment="1" applyProtection="1">
      <alignment vertical="center" wrapText="1"/>
      <protection hidden="1"/>
    </xf>
    <xf numFmtId="0" fontId="58" fillId="0" borderId="108" xfId="0" applyFont="1" applyBorder="1" applyAlignment="1" applyProtection="1">
      <alignment horizontal="center" vertical="center"/>
      <protection hidden="1"/>
    </xf>
    <xf numFmtId="0" fontId="0" fillId="0" borderId="111" xfId="0" applyBorder="1" applyAlignment="1" applyProtection="1">
      <alignment horizontal="center" vertical="center"/>
      <protection hidden="1"/>
    </xf>
    <xf numFmtId="9" fontId="0" fillId="0" borderId="108" xfId="0" applyNumberFormat="1" applyBorder="1" applyAlignment="1" applyProtection="1">
      <alignment horizontal="center" vertical="center"/>
      <protection hidden="1"/>
    </xf>
    <xf numFmtId="0" fontId="0" fillId="0" borderId="108" xfId="0" applyBorder="1" applyAlignment="1" applyProtection="1">
      <alignment horizontal="center" vertical="center" textRotation="90"/>
      <protection locked="0"/>
    </xf>
    <xf numFmtId="164" fontId="0" fillId="0" borderId="108" xfId="1" applyNumberFormat="1" applyFont="1" applyBorder="1" applyAlignment="1">
      <alignment horizontal="center" vertical="center"/>
    </xf>
    <xf numFmtId="0" fontId="58" fillId="0" borderId="108" xfId="0" applyFont="1" applyBorder="1" applyAlignment="1" applyProtection="1">
      <alignment horizontal="center" vertical="center" textRotation="90" wrapText="1"/>
      <protection hidden="1"/>
    </xf>
    <xf numFmtId="0" fontId="58" fillId="0" borderId="108" xfId="0" applyFont="1" applyBorder="1" applyAlignment="1" applyProtection="1">
      <alignment horizontal="center" vertical="center" textRotation="90"/>
      <protection hidden="1"/>
    </xf>
    <xf numFmtId="0" fontId="0" fillId="0" borderId="108" xfId="0" applyBorder="1" applyAlignment="1" applyProtection="1">
      <alignment horizontal="center" vertical="center" wrapText="1"/>
      <protection locked="0"/>
    </xf>
    <xf numFmtId="0" fontId="15" fillId="0" borderId="113" xfId="0" applyFont="1" applyBorder="1" applyAlignment="1" applyProtection="1">
      <alignment horizontal="center" vertical="center" wrapText="1"/>
      <protection locked="0"/>
    </xf>
    <xf numFmtId="0" fontId="15" fillId="0" borderId="114" xfId="0" applyFont="1" applyBorder="1" applyAlignment="1" applyProtection="1">
      <alignment horizontal="center" vertical="center" wrapText="1"/>
      <protection locked="0"/>
    </xf>
    <xf numFmtId="0" fontId="15" fillId="0" borderId="115" xfId="0" applyFont="1" applyBorder="1" applyAlignment="1" applyProtection="1">
      <alignment horizontal="center" vertical="center" wrapText="1"/>
      <protection locked="0"/>
    </xf>
    <xf numFmtId="0" fontId="5" fillId="0" borderId="71" xfId="0" applyFont="1" applyBorder="1" applyAlignment="1">
      <alignment horizontal="center" vertical="center" wrapText="1"/>
    </xf>
    <xf numFmtId="9" fontId="0" fillId="0" borderId="116" xfId="0" applyNumberFormat="1" applyBorder="1" applyAlignment="1" applyProtection="1">
      <alignment vertical="center" wrapText="1"/>
      <protection hidden="1"/>
    </xf>
    <xf numFmtId="0" fontId="58" fillId="0" borderId="113" xfId="0" applyFont="1" applyBorder="1" applyAlignment="1" applyProtection="1">
      <alignment horizontal="center" vertical="center" wrapText="1"/>
      <protection hidden="1"/>
    </xf>
    <xf numFmtId="9" fontId="0" fillId="0" borderId="113" xfId="0" applyNumberFormat="1" applyBorder="1" applyAlignment="1" applyProtection="1">
      <alignment horizontal="center" vertical="center" wrapText="1"/>
      <protection hidden="1"/>
    </xf>
    <xf numFmtId="0" fontId="58" fillId="0" borderId="113" xfId="0" applyFont="1" applyBorder="1" applyAlignment="1" applyProtection="1">
      <alignment horizontal="center" vertical="center"/>
      <protection hidden="1"/>
    </xf>
    <xf numFmtId="0" fontId="0" fillId="0" borderId="116" xfId="0" applyBorder="1" applyAlignment="1" applyProtection="1">
      <alignment horizontal="center" vertical="center"/>
      <protection hidden="1"/>
    </xf>
    <xf numFmtId="9" fontId="0" fillId="0" borderId="113" xfId="0" applyNumberFormat="1" applyBorder="1" applyAlignment="1" applyProtection="1">
      <alignment horizontal="center" vertical="center"/>
      <protection hidden="1"/>
    </xf>
    <xf numFmtId="0" fontId="0" fillId="0" borderId="113" xfId="0" applyBorder="1" applyAlignment="1" applyProtection="1">
      <alignment horizontal="center" vertical="center" textRotation="90"/>
      <protection locked="0"/>
    </xf>
    <xf numFmtId="164" fontId="0" fillId="0" borderId="113" xfId="1" applyNumberFormat="1" applyFont="1" applyBorder="1" applyAlignment="1">
      <alignment horizontal="center" vertical="center"/>
    </xf>
    <xf numFmtId="0" fontId="58" fillId="0" borderId="113" xfId="0" applyFont="1" applyBorder="1" applyAlignment="1" applyProtection="1">
      <alignment horizontal="center" vertical="center" textRotation="90" wrapText="1"/>
      <protection hidden="1"/>
    </xf>
    <xf numFmtId="0" fontId="58" fillId="0" borderId="113" xfId="0" applyFont="1" applyBorder="1" applyAlignment="1" applyProtection="1">
      <alignment horizontal="center" vertical="center" textRotation="90"/>
      <protection hidden="1"/>
    </xf>
    <xf numFmtId="0" fontId="5" fillId="0" borderId="81" xfId="0" applyFont="1" applyBorder="1" applyAlignment="1">
      <alignment horizontal="center" vertical="center" wrapText="1"/>
    </xf>
    <xf numFmtId="0" fontId="15" fillId="0" borderId="106" xfId="0" applyFont="1" applyBorder="1" applyAlignment="1" applyProtection="1">
      <alignment horizontal="center" vertical="center" wrapText="1"/>
      <protection locked="0"/>
    </xf>
    <xf numFmtId="0" fontId="15" fillId="0" borderId="107" xfId="0" applyFont="1" applyBorder="1" applyAlignment="1" applyProtection="1">
      <alignment horizontal="center" vertical="center" wrapText="1"/>
      <protection locked="0"/>
    </xf>
    <xf numFmtId="0" fontId="15" fillId="0" borderId="118" xfId="0" applyFont="1" applyBorder="1" applyAlignment="1" applyProtection="1">
      <alignment horizontal="center" vertical="center" wrapText="1"/>
      <protection locked="0"/>
    </xf>
    <xf numFmtId="0" fontId="5" fillId="0" borderId="72" xfId="0" applyFont="1" applyBorder="1" applyAlignment="1">
      <alignment horizontal="center" vertical="center" wrapText="1"/>
    </xf>
    <xf numFmtId="0" fontId="0" fillId="0" borderId="105" xfId="0" applyBorder="1" applyAlignment="1" applyProtection="1">
      <alignment horizontal="center" vertical="center" wrapText="1"/>
      <protection locked="0"/>
    </xf>
    <xf numFmtId="0" fontId="58" fillId="0" borderId="106" xfId="0" applyFont="1" applyBorder="1" applyAlignment="1" applyProtection="1">
      <alignment horizontal="center" vertical="center" wrapText="1"/>
      <protection hidden="1"/>
    </xf>
    <xf numFmtId="9" fontId="0" fillId="0" borderId="106" xfId="0" applyNumberFormat="1" applyBorder="1" applyAlignment="1" applyProtection="1">
      <alignment horizontal="center" vertical="center" wrapText="1"/>
      <protection hidden="1"/>
    </xf>
    <xf numFmtId="9" fontId="0" fillId="0" borderId="106" xfId="0" applyNumberFormat="1" applyBorder="1" applyAlignment="1" applyProtection="1">
      <alignment vertical="center" wrapText="1"/>
      <protection locked="0"/>
    </xf>
    <xf numFmtId="9" fontId="0" fillId="0" borderId="106" xfId="0" applyNumberFormat="1" applyBorder="1" applyAlignment="1" applyProtection="1">
      <alignment vertical="center" wrapText="1"/>
      <protection hidden="1"/>
    </xf>
    <xf numFmtId="0" fontId="58" fillId="0" borderId="106" xfId="0" applyFont="1" applyBorder="1" applyAlignment="1" applyProtection="1">
      <alignment horizontal="center" vertical="center"/>
      <protection hidden="1"/>
    </xf>
    <xf numFmtId="0" fontId="0" fillId="0" borderId="108" xfId="0" applyBorder="1" applyAlignment="1">
      <alignment horizontal="center" vertical="center"/>
    </xf>
    <xf numFmtId="0" fontId="0" fillId="0" borderId="105" xfId="0" applyBorder="1" applyAlignment="1" applyProtection="1">
      <alignment horizontal="center" vertical="center"/>
      <protection hidden="1"/>
    </xf>
    <xf numFmtId="9" fontId="0" fillId="0" borderId="106" xfId="0" applyNumberFormat="1" applyBorder="1" applyAlignment="1" applyProtection="1">
      <alignment horizontal="center" vertical="center"/>
      <protection hidden="1"/>
    </xf>
    <xf numFmtId="0" fontId="0" fillId="0" borderId="106" xfId="0" applyBorder="1" applyAlignment="1" applyProtection="1">
      <alignment horizontal="center" vertical="center" textRotation="90"/>
      <protection locked="0"/>
    </xf>
    <xf numFmtId="164" fontId="0" fillId="0" borderId="106" xfId="1" applyNumberFormat="1" applyFont="1" applyBorder="1" applyAlignment="1">
      <alignment horizontal="center" vertical="center"/>
    </xf>
    <xf numFmtId="0" fontId="58" fillId="0" borderId="106" xfId="0" applyFont="1" applyBorder="1" applyAlignment="1" applyProtection="1">
      <alignment horizontal="center" vertical="center" textRotation="90" wrapText="1"/>
      <protection hidden="1"/>
    </xf>
    <xf numFmtId="0" fontId="58" fillId="0" borderId="106" xfId="0" applyFont="1" applyBorder="1" applyAlignment="1" applyProtection="1">
      <alignment horizontal="center" vertical="center" textRotation="90"/>
      <protection hidden="1"/>
    </xf>
    <xf numFmtId="0" fontId="0" fillId="0" borderId="87" xfId="0" applyBorder="1" applyAlignment="1" applyProtection="1">
      <alignment horizontal="center" vertical="center" textRotation="90"/>
      <protection locked="0"/>
    </xf>
    <xf numFmtId="0" fontId="15" fillId="0" borderId="119" xfId="0" applyFont="1" applyBorder="1" applyAlignment="1" applyProtection="1">
      <alignment horizontal="center" vertical="center" wrapText="1"/>
      <protection locked="0"/>
    </xf>
    <xf numFmtId="0" fontId="15" fillId="0" borderId="120" xfId="0" applyFont="1" applyBorder="1" applyAlignment="1" applyProtection="1">
      <alignment horizontal="center" vertical="center" wrapText="1"/>
      <protection locked="0"/>
    </xf>
    <xf numFmtId="0" fontId="15" fillId="0" borderId="121" xfId="0" applyFont="1" applyBorder="1" applyAlignment="1">
      <alignment horizontal="center" vertical="center"/>
    </xf>
    <xf numFmtId="0" fontId="0" fillId="0" borderId="94" xfId="0" applyBorder="1" applyAlignment="1" applyProtection="1">
      <alignment vertical="center" wrapText="1"/>
      <protection locked="0"/>
    </xf>
    <xf numFmtId="0" fontId="5" fillId="0" borderId="94" xfId="0" applyFont="1" applyBorder="1" applyAlignment="1">
      <alignment horizontal="center" vertical="center" wrapText="1"/>
    </xf>
    <xf numFmtId="0" fontId="15" fillId="0" borderId="95" xfId="0" applyFont="1" applyBorder="1" applyAlignment="1" applyProtection="1">
      <alignment horizontal="center" vertical="center" wrapText="1"/>
      <protection locked="0"/>
    </xf>
    <xf numFmtId="0" fontId="0" fillId="0" borderId="81" xfId="0" applyBorder="1" applyAlignment="1" applyProtection="1">
      <alignment horizontal="center" vertical="center"/>
      <protection hidden="1"/>
    </xf>
    <xf numFmtId="0" fontId="15" fillId="0" borderId="72" xfId="0" applyFont="1" applyBorder="1" applyAlignment="1" applyProtection="1">
      <alignment horizontal="center" vertical="center" wrapText="1"/>
      <protection locked="0"/>
    </xf>
    <xf numFmtId="0" fontId="62" fillId="0" borderId="106" xfId="0" applyFont="1" applyBorder="1" applyAlignment="1" applyProtection="1">
      <alignment horizontal="center" vertical="center" wrapText="1"/>
      <protection locked="0"/>
    </xf>
    <xf numFmtId="0" fontId="62" fillId="0" borderId="117" xfId="0" applyFont="1" applyBorder="1" applyAlignment="1" applyProtection="1">
      <alignment horizontal="center" vertical="center" wrapText="1"/>
      <protection locked="0"/>
    </xf>
    <xf numFmtId="0" fontId="0" fillId="0" borderId="72" xfId="0" applyBorder="1" applyAlignment="1" applyProtection="1">
      <alignment horizontal="center" vertical="center"/>
      <protection hidden="1"/>
    </xf>
    <xf numFmtId="0" fontId="15" fillId="0" borderId="108" xfId="0" applyFont="1" applyBorder="1" applyAlignment="1" applyProtection="1">
      <alignment vertical="center" wrapText="1"/>
      <protection locked="0"/>
    </xf>
    <xf numFmtId="0" fontId="0" fillId="0" borderId="124" xfId="0" applyBorder="1" applyAlignment="1" applyProtection="1">
      <alignment horizontal="center" vertical="center" wrapText="1"/>
      <protection locked="0"/>
    </xf>
    <xf numFmtId="0" fontId="15" fillId="0" borderId="125" xfId="0" applyFont="1" applyBorder="1" applyAlignment="1" applyProtection="1">
      <alignment horizontal="center" vertical="center" wrapText="1"/>
      <protection locked="0"/>
    </xf>
    <xf numFmtId="0" fontId="0" fillId="0" borderId="126" xfId="0" applyBorder="1" applyAlignment="1" applyProtection="1">
      <alignment horizontal="center" vertical="center" wrapText="1"/>
      <protection locked="0"/>
    </xf>
    <xf numFmtId="9" fontId="0" fillId="0" borderId="9" xfId="0" applyNumberFormat="1" applyBorder="1" applyAlignment="1" applyProtection="1">
      <alignment horizontal="center" vertical="center" wrapText="1"/>
      <protection hidden="1"/>
    </xf>
    <xf numFmtId="9" fontId="0" fillId="0" borderId="117" xfId="0" applyNumberFormat="1" applyBorder="1" applyAlignment="1" applyProtection="1">
      <alignment horizontal="center" vertical="center" wrapText="1"/>
      <protection hidden="1"/>
    </xf>
    <xf numFmtId="0" fontId="58" fillId="0" borderId="120" xfId="0" applyFont="1" applyBorder="1" applyAlignment="1" applyProtection="1">
      <alignment horizontal="center" vertical="center" wrapText="1"/>
      <protection hidden="1"/>
    </xf>
    <xf numFmtId="9" fontId="0" fillId="0" borderId="120" xfId="0" applyNumberFormat="1" applyBorder="1" applyAlignment="1" applyProtection="1">
      <alignment horizontal="center" vertical="center" wrapText="1"/>
      <protection hidden="1"/>
    </xf>
    <xf numFmtId="9" fontId="0" fillId="0" borderId="120" xfId="0" applyNumberFormat="1" applyBorder="1" applyAlignment="1" applyProtection="1">
      <alignment horizontal="center" vertical="center" wrapText="1"/>
      <protection locked="0"/>
    </xf>
    <xf numFmtId="9" fontId="0" fillId="0" borderId="129" xfId="0" applyNumberFormat="1" applyBorder="1" applyAlignment="1" applyProtection="1">
      <alignment horizontal="center" vertical="center" wrapText="1"/>
      <protection hidden="1"/>
    </xf>
    <xf numFmtId="9" fontId="0" fillId="0" borderId="129" xfId="0" applyNumberFormat="1" applyBorder="1" applyAlignment="1" applyProtection="1">
      <alignment vertical="center" wrapText="1"/>
      <protection locked="0"/>
    </xf>
    <xf numFmtId="0" fontId="0" fillId="0" borderId="130" xfId="0" applyBorder="1" applyAlignment="1">
      <alignment vertical="center"/>
    </xf>
    <xf numFmtId="0" fontId="15" fillId="0" borderId="131" xfId="0" applyFont="1" applyBorder="1" applyAlignment="1" applyProtection="1">
      <alignment vertical="center" wrapText="1"/>
      <protection locked="0"/>
    </xf>
    <xf numFmtId="0" fontId="15" fillId="0" borderId="94" xfId="0" applyFont="1" applyBorder="1" applyAlignment="1" applyProtection="1">
      <alignment vertical="center" wrapText="1"/>
      <protection locked="0"/>
    </xf>
    <xf numFmtId="0" fontId="15" fillId="0" borderId="132" xfId="0" applyFont="1" applyBorder="1" applyAlignment="1" applyProtection="1">
      <alignment horizontal="center" vertical="center" wrapText="1"/>
      <protection locked="0"/>
    </xf>
    <xf numFmtId="0" fontId="15" fillId="0" borderId="133" xfId="0" applyFont="1" applyBorder="1" applyAlignment="1" applyProtection="1">
      <alignment horizontal="center" vertical="center" wrapText="1"/>
      <protection locked="0"/>
    </xf>
    <xf numFmtId="0" fontId="15" fillId="0" borderId="121" xfId="0" applyFont="1" applyBorder="1" applyAlignment="1" applyProtection="1">
      <alignment horizontal="center" vertical="center" wrapText="1"/>
      <protection locked="0"/>
    </xf>
    <xf numFmtId="0" fontId="58" fillId="0" borderId="133" xfId="0" applyFont="1" applyBorder="1" applyAlignment="1" applyProtection="1">
      <alignment horizontal="center" vertical="center" wrapText="1"/>
      <protection hidden="1"/>
    </xf>
    <xf numFmtId="9" fontId="0" fillId="0" borderId="133" xfId="0" applyNumberFormat="1" applyBorder="1" applyAlignment="1" applyProtection="1">
      <alignment horizontal="center" vertical="center" wrapText="1"/>
      <protection hidden="1"/>
    </xf>
    <xf numFmtId="0" fontId="0" fillId="0" borderId="133" xfId="0" applyBorder="1" applyAlignment="1" applyProtection="1">
      <alignment horizontal="center" vertical="center" wrapText="1"/>
      <protection locked="0"/>
    </xf>
    <xf numFmtId="0" fontId="65" fillId="23" borderId="89" xfId="0" applyFont="1" applyFill="1" applyBorder="1" applyAlignment="1">
      <alignment wrapText="1"/>
    </xf>
    <xf numFmtId="0" fontId="65" fillId="24" borderId="89" xfId="0" applyFont="1" applyFill="1" applyBorder="1"/>
    <xf numFmtId="0" fontId="65" fillId="23" borderId="138" xfId="0" applyFont="1" applyFill="1" applyBorder="1" applyAlignment="1">
      <alignment wrapText="1"/>
    </xf>
    <xf numFmtId="0" fontId="65" fillId="24" borderId="138" xfId="0" applyFont="1" applyFill="1" applyBorder="1"/>
    <xf numFmtId="0" fontId="67" fillId="0" borderId="144" xfId="0" applyFont="1" applyBorder="1" applyAlignment="1">
      <alignment horizontal="center" vertical="center" wrapText="1"/>
    </xf>
    <xf numFmtId="0" fontId="66" fillId="22" borderId="134" xfId="0" applyFont="1" applyFill="1" applyBorder="1" applyAlignment="1">
      <alignment horizontal="center" vertical="center" textRotation="90" wrapText="1"/>
    </xf>
    <xf numFmtId="0" fontId="65" fillId="20" borderId="134" xfId="0" applyFont="1" applyFill="1" applyBorder="1" applyAlignment="1">
      <alignment horizontal="center" vertical="center" textRotation="90" wrapText="1"/>
    </xf>
    <xf numFmtId="0" fontId="65" fillId="21" borderId="134" xfId="0" applyFont="1" applyFill="1" applyBorder="1" applyAlignment="1">
      <alignment horizontal="center" vertical="center" textRotation="90"/>
    </xf>
    <xf numFmtId="0" fontId="66" fillId="22" borderId="89" xfId="0" applyFont="1" applyFill="1" applyBorder="1" applyAlignment="1">
      <alignment horizontal="center" vertical="center" textRotation="90" wrapText="1"/>
    </xf>
    <xf numFmtId="0" fontId="65" fillId="23" borderId="89" xfId="0" applyFont="1" applyFill="1" applyBorder="1" applyAlignment="1">
      <alignment horizontal="center" vertical="center" textRotation="90" wrapText="1"/>
    </xf>
    <xf numFmtId="0" fontId="65" fillId="24" borderId="89" xfId="0" applyFont="1" applyFill="1" applyBorder="1" applyAlignment="1">
      <alignment horizontal="center" vertical="center" textRotation="90"/>
    </xf>
    <xf numFmtId="0" fontId="65" fillId="26" borderId="134" xfId="0" applyFont="1" applyFill="1" applyBorder="1" applyAlignment="1">
      <alignment horizontal="center" vertical="center" textRotation="90" wrapText="1"/>
    </xf>
    <xf numFmtId="0" fontId="65" fillId="25" borderId="134" xfId="0" applyFont="1" applyFill="1" applyBorder="1" applyAlignment="1">
      <alignment horizontal="center" vertical="center" textRotation="90"/>
    </xf>
    <xf numFmtId="0" fontId="66" fillId="22" borderId="143" xfId="0" applyFont="1" applyFill="1" applyBorder="1" applyAlignment="1">
      <alignment horizontal="center" vertical="center" textRotation="90" wrapText="1"/>
    </xf>
    <xf numFmtId="0" fontId="65" fillId="26" borderId="143" xfId="0" applyFont="1" applyFill="1" applyBorder="1" applyAlignment="1">
      <alignment horizontal="center" vertical="center" textRotation="90" wrapText="1"/>
    </xf>
    <xf numFmtId="0" fontId="65" fillId="25" borderId="143" xfId="0" applyFont="1" applyFill="1" applyBorder="1" applyAlignment="1">
      <alignment horizontal="center" vertical="center" textRotation="90"/>
    </xf>
    <xf numFmtId="0" fontId="46" fillId="0" borderId="75" xfId="0" applyFont="1" applyBorder="1" applyAlignment="1">
      <alignment vertical="center" wrapText="1"/>
    </xf>
    <xf numFmtId="0" fontId="15" fillId="0" borderId="79" xfId="0" applyFont="1" applyBorder="1" applyAlignment="1" applyProtection="1">
      <alignment horizontal="center" vertical="center" wrapText="1"/>
      <protection locked="0"/>
    </xf>
    <xf numFmtId="0" fontId="46" fillId="0" borderId="73" xfId="0" applyFont="1" applyBorder="1" applyAlignment="1">
      <alignment vertical="center" wrapText="1"/>
    </xf>
    <xf numFmtId="0" fontId="0" fillId="0" borderId="74" xfId="0" applyBorder="1" applyAlignment="1" applyProtection="1">
      <alignment horizontal="center" vertical="center"/>
      <protection locked="0"/>
    </xf>
    <xf numFmtId="0" fontId="58" fillId="0" borderId="74" xfId="0" applyFont="1" applyBorder="1" applyAlignment="1" applyProtection="1">
      <alignment horizontal="center" vertical="center"/>
      <protection hidden="1"/>
    </xf>
    <xf numFmtId="0" fontId="58" fillId="0" borderId="81" xfId="0" applyFont="1" applyBorder="1" applyAlignment="1" applyProtection="1">
      <alignment horizontal="center" vertical="center"/>
      <protection hidden="1"/>
    </xf>
    <xf numFmtId="0" fontId="46" fillId="0" borderId="81" xfId="0" applyFont="1" applyBorder="1" applyAlignment="1">
      <alignment vertical="center" wrapText="1"/>
    </xf>
    <xf numFmtId="0" fontId="0" fillId="0" borderId="0" xfId="0" applyAlignment="1">
      <alignment vertical="center"/>
    </xf>
    <xf numFmtId="0" fontId="57" fillId="16" borderId="29" xfId="0" applyFont="1" applyFill="1" applyBorder="1" applyAlignment="1">
      <alignment horizontal="center"/>
    </xf>
    <xf numFmtId="0" fontId="57" fillId="16" borderId="29" xfId="0" applyFont="1" applyFill="1" applyBorder="1" applyAlignment="1">
      <alignment horizontal="center" vertical="center"/>
    </xf>
    <xf numFmtId="0" fontId="0" fillId="0" borderId="29" xfId="0" applyBorder="1" applyAlignment="1">
      <alignment horizontal="justify" vertical="top" wrapText="1"/>
    </xf>
    <xf numFmtId="0" fontId="0" fillId="13" borderId="29" xfId="0" applyFill="1" applyBorder="1" applyAlignment="1">
      <alignment vertical="center"/>
    </xf>
    <xf numFmtId="0" fontId="0" fillId="0" borderId="29" xfId="0" applyBorder="1" applyAlignment="1">
      <alignment vertical="top"/>
    </xf>
    <xf numFmtId="0" fontId="68" fillId="0" borderId="30" xfId="0" applyFont="1" applyBorder="1" applyAlignment="1">
      <alignment horizontal="justify" vertical="top" wrapText="1"/>
    </xf>
    <xf numFmtId="0" fontId="69" fillId="0" borderId="30" xfId="0" applyFont="1" applyBorder="1" applyAlignment="1">
      <alignment horizontal="justify" vertical="top" wrapText="1"/>
    </xf>
    <xf numFmtId="0" fontId="0" fillId="0" borderId="30" xfId="0" applyBorder="1" applyAlignment="1">
      <alignment horizontal="justify" vertical="top" wrapText="1"/>
    </xf>
    <xf numFmtId="0" fontId="0" fillId="27" borderId="29" xfId="0" applyFill="1" applyBorder="1" applyAlignment="1">
      <alignment vertical="center"/>
    </xf>
    <xf numFmtId="0" fontId="0" fillId="0" borderId="29" xfId="0" applyBorder="1" applyAlignment="1">
      <alignment horizontal="justify" vertical="top"/>
    </xf>
    <xf numFmtId="0" fontId="0" fillId="28" borderId="29" xfId="0" applyFill="1" applyBorder="1" applyAlignment="1">
      <alignment vertical="center"/>
    </xf>
    <xf numFmtId="0" fontId="0" fillId="29" borderId="29" xfId="0" applyFill="1" applyBorder="1" applyAlignment="1">
      <alignment vertical="center"/>
    </xf>
    <xf numFmtId="0" fontId="0" fillId="0" borderId="0" xfId="0" applyAlignment="1">
      <alignment horizontal="left" vertical="top" wrapText="1"/>
    </xf>
    <xf numFmtId="0" fontId="0" fillId="0" borderId="0" xfId="0" applyAlignment="1">
      <alignment horizontal="left" vertical="top"/>
    </xf>
    <xf numFmtId="0" fontId="0" fillId="15" borderId="29" xfId="0" applyFill="1" applyBorder="1" applyAlignment="1">
      <alignment vertical="center"/>
    </xf>
    <xf numFmtId="0" fontId="0" fillId="30" borderId="29" xfId="0" applyFill="1" applyBorder="1" applyAlignment="1">
      <alignment vertical="center"/>
    </xf>
    <xf numFmtId="0" fontId="0" fillId="0" borderId="0" xfId="0" applyAlignment="1">
      <alignment horizontal="center" wrapText="1"/>
    </xf>
    <xf numFmtId="0" fontId="58" fillId="0" borderId="0" xfId="0" applyFont="1"/>
    <xf numFmtId="0" fontId="0" fillId="0" borderId="29" xfId="0" applyBorder="1" applyAlignment="1">
      <alignment vertical="center"/>
    </xf>
    <xf numFmtId="0" fontId="13" fillId="16" borderId="29" xfId="0" applyFont="1" applyFill="1" applyBorder="1" applyAlignment="1">
      <alignment horizontal="center" vertical="center"/>
    </xf>
    <xf numFmtId="0" fontId="0" fillId="0" borderId="29" xfId="0" applyBorder="1" applyAlignment="1">
      <alignment horizontal="justify" vertical="center"/>
    </xf>
    <xf numFmtId="0" fontId="15" fillId="0" borderId="8" xfId="0" applyFont="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0" fillId="3" borderId="71" xfId="0" applyFill="1" applyBorder="1" applyAlignment="1">
      <alignment horizontal="center" vertical="center" wrapText="1"/>
    </xf>
    <xf numFmtId="0" fontId="0" fillId="3" borderId="71" xfId="0" applyFill="1" applyBorder="1" applyAlignment="1" applyProtection="1">
      <alignment horizontal="center" vertical="center" wrapText="1"/>
      <protection locked="0"/>
    </xf>
    <xf numFmtId="0" fontId="58" fillId="3" borderId="71" xfId="0" applyFont="1" applyFill="1" applyBorder="1" applyAlignment="1" applyProtection="1">
      <alignment horizontal="center" vertical="center" wrapText="1"/>
      <protection hidden="1"/>
    </xf>
    <xf numFmtId="9" fontId="0" fillId="3" borderId="71" xfId="0" applyNumberFormat="1" applyFill="1" applyBorder="1" applyAlignment="1" applyProtection="1">
      <alignment horizontal="center" vertical="center" wrapText="1"/>
      <protection hidden="1"/>
    </xf>
    <xf numFmtId="9" fontId="0" fillId="3" borderId="71" xfId="0" applyNumberFormat="1" applyFill="1" applyBorder="1" applyAlignment="1" applyProtection="1">
      <alignment vertical="center" wrapText="1"/>
      <protection locked="0"/>
    </xf>
    <xf numFmtId="9" fontId="0" fillId="3" borderId="71" xfId="0" applyNumberFormat="1" applyFill="1" applyBorder="1" applyAlignment="1" applyProtection="1">
      <alignment vertical="center" wrapText="1"/>
      <protection hidden="1"/>
    </xf>
    <xf numFmtId="0" fontId="0" fillId="3" borderId="71" xfId="0" applyFill="1" applyBorder="1" applyAlignment="1" applyProtection="1">
      <alignment horizontal="center" vertical="center" wrapText="1"/>
      <protection hidden="1"/>
    </xf>
    <xf numFmtId="0" fontId="0" fillId="3" borderId="71" xfId="0" applyFill="1" applyBorder="1" applyAlignment="1" applyProtection="1">
      <alignment horizontal="center" vertical="center" textRotation="90" wrapText="1"/>
      <protection locked="0"/>
    </xf>
    <xf numFmtId="164" fontId="0" fillId="3" borderId="71" xfId="1" applyNumberFormat="1" applyFont="1" applyFill="1" applyBorder="1" applyAlignment="1">
      <alignment horizontal="center" vertical="center" wrapText="1"/>
    </xf>
    <xf numFmtId="0" fontId="58" fillId="3" borderId="71" xfId="0" applyFont="1" applyFill="1" applyBorder="1" applyAlignment="1" applyProtection="1">
      <alignment horizontal="center" vertical="center" textRotation="90" wrapText="1"/>
      <protection hidden="1"/>
    </xf>
    <xf numFmtId="0" fontId="15" fillId="3" borderId="6" xfId="0" applyFont="1" applyFill="1" applyBorder="1" applyAlignment="1" applyProtection="1">
      <alignment horizontal="center" vertical="center" wrapText="1"/>
      <protection locked="0"/>
    </xf>
    <xf numFmtId="14" fontId="0" fillId="3" borderId="71" xfId="0" applyNumberFormat="1" applyFill="1" applyBorder="1" applyAlignment="1" applyProtection="1">
      <alignment horizontal="center" vertical="center" wrapText="1"/>
      <protection locked="0"/>
    </xf>
    <xf numFmtId="14" fontId="15" fillId="3" borderId="71" xfId="0" applyNumberFormat="1" applyFont="1" applyFill="1" applyBorder="1" applyAlignment="1" applyProtection="1">
      <alignment horizontal="center" vertical="center" wrapText="1"/>
      <protection locked="0"/>
    </xf>
    <xf numFmtId="9" fontId="0" fillId="3" borderId="71" xfId="0" applyNumberFormat="1" applyFill="1" applyBorder="1" applyAlignment="1" applyProtection="1">
      <alignment horizontal="center" vertical="center" wrapText="1"/>
      <protection locked="0"/>
    </xf>
    <xf numFmtId="0" fontId="2" fillId="31" borderId="0" xfId="0" applyFont="1" applyFill="1" applyAlignment="1">
      <alignment horizontal="center" vertical="center" wrapText="1"/>
    </xf>
    <xf numFmtId="0" fontId="15" fillId="3" borderId="71" xfId="0" applyFont="1" applyFill="1" applyBorder="1" applyAlignment="1" applyProtection="1">
      <alignment horizontal="center" vertical="center" wrapText="1"/>
      <protection locked="0"/>
    </xf>
    <xf numFmtId="0" fontId="2" fillId="3" borderId="0" xfId="0" applyFont="1" applyFill="1" applyAlignment="1">
      <alignment horizontal="center" vertical="center" wrapText="1"/>
    </xf>
    <xf numFmtId="0" fontId="46" fillId="3" borderId="73" xfId="0" applyFont="1" applyFill="1" applyBorder="1" applyAlignment="1">
      <alignment vertical="center" wrapText="1"/>
    </xf>
    <xf numFmtId="0" fontId="46" fillId="3" borderId="74" xfId="0" applyFont="1" applyFill="1" applyBorder="1" applyAlignment="1">
      <alignment vertical="center" wrapText="1"/>
    </xf>
    <xf numFmtId="0" fontId="62" fillId="0" borderId="74" xfId="0" applyFont="1" applyBorder="1" applyAlignment="1" applyProtection="1">
      <alignment horizontal="center" vertical="center" wrapText="1"/>
      <protection locked="0"/>
    </xf>
    <xf numFmtId="0" fontId="62" fillId="0" borderId="0" xfId="0" applyFont="1" applyAlignment="1" applyProtection="1">
      <alignment horizontal="center" vertical="center" wrapText="1"/>
      <protection locked="0"/>
    </xf>
    <xf numFmtId="0" fontId="62" fillId="0" borderId="84" xfId="0" applyFont="1" applyBorder="1" applyAlignment="1" applyProtection="1">
      <alignment horizontal="center" vertical="center" wrapText="1"/>
      <protection locked="0"/>
    </xf>
    <xf numFmtId="0" fontId="62" fillId="0" borderId="85" xfId="0" applyFont="1" applyBorder="1" applyAlignment="1" applyProtection="1">
      <alignment horizontal="center" vertical="center" wrapText="1"/>
      <protection locked="0"/>
    </xf>
    <xf numFmtId="0" fontId="62" fillId="0" borderId="83" xfId="0" applyFont="1" applyBorder="1" applyAlignment="1" applyProtection="1">
      <alignment horizontal="center" vertical="center" wrapText="1"/>
      <protection locked="0"/>
    </xf>
    <xf numFmtId="0" fontId="46" fillId="3" borderId="86" xfId="0" applyFont="1" applyFill="1" applyBorder="1" applyAlignment="1">
      <alignment horizontal="center" vertical="center" wrapText="1"/>
    </xf>
    <xf numFmtId="0" fontId="0" fillId="3" borderId="78" xfId="0" applyFill="1" applyBorder="1" applyAlignment="1" applyProtection="1">
      <alignment horizontal="center" vertical="center" wrapText="1"/>
      <protection hidden="1"/>
    </xf>
    <xf numFmtId="0" fontId="63" fillId="3" borderId="71" xfId="0" applyFont="1" applyFill="1" applyBorder="1" applyAlignment="1" applyProtection="1">
      <alignment horizontal="center" vertical="center" wrapText="1"/>
      <protection locked="0"/>
    </xf>
    <xf numFmtId="0" fontId="62" fillId="3" borderId="80" xfId="0" applyFont="1" applyFill="1" applyBorder="1" applyAlignment="1" applyProtection="1">
      <alignment horizontal="center" vertical="center" wrapText="1"/>
      <protection locked="0"/>
    </xf>
    <xf numFmtId="0" fontId="46" fillId="3" borderId="72" xfId="0" applyFont="1" applyFill="1" applyBorder="1" applyAlignment="1">
      <alignment horizontal="center" vertical="center" wrapText="1"/>
    </xf>
    <xf numFmtId="0" fontId="61" fillId="3" borderId="72" xfId="0" applyFont="1" applyFill="1" applyBorder="1" applyAlignment="1">
      <alignment horizontal="center" vertical="center" wrapText="1"/>
    </xf>
    <xf numFmtId="0" fontId="0" fillId="3" borderId="72" xfId="0" applyFill="1" applyBorder="1" applyAlignment="1" applyProtection="1">
      <alignment horizontal="center" vertical="center" wrapText="1"/>
      <protection locked="0"/>
    </xf>
    <xf numFmtId="0" fontId="58" fillId="3" borderId="72" xfId="0" applyFont="1" applyFill="1" applyBorder="1" applyAlignment="1" applyProtection="1">
      <alignment horizontal="center" vertical="center" wrapText="1"/>
      <protection hidden="1"/>
    </xf>
    <xf numFmtId="9" fontId="0" fillId="3" borderId="72" xfId="0" applyNumberFormat="1" applyFill="1" applyBorder="1" applyAlignment="1" applyProtection="1">
      <alignment horizontal="center" vertical="center" wrapText="1"/>
      <protection hidden="1"/>
    </xf>
    <xf numFmtId="9" fontId="0" fillId="3" borderId="72" xfId="0" applyNumberFormat="1" applyFill="1" applyBorder="1" applyAlignment="1" applyProtection="1">
      <alignment vertical="center" wrapText="1"/>
      <protection hidden="1"/>
    </xf>
    <xf numFmtId="0" fontId="0" fillId="3" borderId="72" xfId="0" applyFill="1" applyBorder="1" applyAlignment="1">
      <alignment horizontal="center" vertical="center" wrapText="1"/>
    </xf>
    <xf numFmtId="0" fontId="46" fillId="3" borderId="81" xfId="0" applyFont="1" applyFill="1" applyBorder="1" applyAlignment="1">
      <alignment horizontal="center" vertical="center" wrapText="1"/>
    </xf>
    <xf numFmtId="0" fontId="0" fillId="3" borderId="82" xfId="0" applyFill="1" applyBorder="1" applyAlignment="1" applyProtection="1">
      <alignment horizontal="center" vertical="center" wrapText="1"/>
      <protection hidden="1"/>
    </xf>
    <xf numFmtId="0" fontId="0" fillId="3" borderId="72" xfId="0" applyFill="1" applyBorder="1" applyAlignment="1" applyProtection="1">
      <alignment horizontal="center" vertical="center" textRotation="90" wrapText="1"/>
      <protection locked="0"/>
    </xf>
    <xf numFmtId="164" fontId="0" fillId="3" borderId="72" xfId="1" applyNumberFormat="1" applyFont="1" applyFill="1" applyBorder="1" applyAlignment="1">
      <alignment horizontal="center" vertical="center" wrapText="1"/>
    </xf>
    <xf numFmtId="0" fontId="58" fillId="3" borderId="72" xfId="0" applyFont="1" applyFill="1" applyBorder="1" applyAlignment="1" applyProtection="1">
      <alignment horizontal="center" vertical="center" textRotation="90" wrapText="1"/>
      <protection hidden="1"/>
    </xf>
    <xf numFmtId="0" fontId="15" fillId="3" borderId="87" xfId="0" applyFont="1" applyFill="1" applyBorder="1" applyAlignment="1" applyProtection="1">
      <alignment horizontal="center" vertical="center" wrapText="1"/>
      <protection locked="0"/>
    </xf>
    <xf numFmtId="0" fontId="62" fillId="3" borderId="72" xfId="0" applyFont="1" applyFill="1" applyBorder="1" applyAlignment="1" applyProtection="1">
      <alignment horizontal="center" vertical="center" wrapText="1"/>
      <protection locked="0"/>
    </xf>
    <xf numFmtId="0" fontId="62" fillId="3" borderId="88" xfId="0" applyFont="1" applyFill="1" applyBorder="1" applyAlignment="1" applyProtection="1">
      <alignment horizontal="center" vertical="center" wrapText="1"/>
      <protection locked="0"/>
    </xf>
    <xf numFmtId="9" fontId="0" fillId="3" borderId="72" xfId="0" applyNumberFormat="1" applyFill="1" applyBorder="1" applyAlignment="1" applyProtection="1">
      <alignment horizontal="center" vertical="center" wrapText="1"/>
      <protection locked="0"/>
    </xf>
    <xf numFmtId="0" fontId="15" fillId="0" borderId="96" xfId="0" applyFont="1" applyBorder="1" applyAlignment="1" applyProtection="1">
      <alignment horizontal="center" vertical="center" wrapText="1"/>
      <protection locked="0"/>
    </xf>
    <xf numFmtId="0" fontId="1" fillId="30" borderId="0" xfId="0" applyFont="1" applyFill="1" applyAlignment="1">
      <alignment horizontal="center" vertical="center" wrapText="1"/>
    </xf>
    <xf numFmtId="0" fontId="1" fillId="30" borderId="0" xfId="0" applyFont="1" applyFill="1" applyAlignment="1">
      <alignment horizontal="center" vertical="center"/>
    </xf>
    <xf numFmtId="0" fontId="1" fillId="30" borderId="0" xfId="0" applyFont="1" applyFill="1"/>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94" xfId="0" applyFont="1" applyBorder="1" applyAlignment="1" applyProtection="1">
      <alignment horizontal="left" vertical="center" wrapText="1"/>
      <protection locked="0"/>
    </xf>
    <xf numFmtId="0" fontId="64" fillId="0" borderId="76" xfId="0" applyFont="1" applyBorder="1" applyAlignment="1" applyProtection="1">
      <alignment horizontal="left" vertical="center" wrapText="1"/>
      <protection locked="0"/>
    </xf>
    <xf numFmtId="0" fontId="15" fillId="0" borderId="105" xfId="0" applyFont="1" applyBorder="1" applyAlignment="1" applyProtection="1">
      <alignment horizontal="left" vertical="center" wrapText="1"/>
      <protection locked="0"/>
    </xf>
    <xf numFmtId="0" fontId="15" fillId="0" borderId="97" xfId="0" applyFont="1" applyBorder="1" applyAlignment="1" applyProtection="1">
      <alignment horizontal="left" vertical="center" wrapText="1"/>
      <protection locked="0"/>
    </xf>
    <xf numFmtId="0" fontId="15" fillId="0" borderId="108" xfId="0" applyFont="1" applyBorder="1" applyAlignment="1" applyProtection="1">
      <alignment horizontal="left" vertical="center" wrapText="1"/>
      <protection locked="0"/>
    </xf>
    <xf numFmtId="0" fontId="63" fillId="0" borderId="135" xfId="0" applyFont="1" applyBorder="1" applyAlignment="1">
      <alignment horizontal="center" vertical="center" wrapText="1"/>
    </xf>
    <xf numFmtId="0" fontId="63" fillId="0" borderId="141" xfId="0" applyFont="1" applyBorder="1" applyAlignment="1">
      <alignment horizontal="center" vertical="center" wrapText="1"/>
    </xf>
    <xf numFmtId="0" fontId="63" fillId="0" borderId="139" xfId="0" applyFont="1" applyBorder="1" applyAlignment="1">
      <alignment horizontal="center" vertical="center" wrapText="1"/>
    </xf>
    <xf numFmtId="0" fontId="63" fillId="0" borderId="136" xfId="0" applyFont="1" applyBorder="1" applyAlignment="1">
      <alignment wrapText="1"/>
    </xf>
    <xf numFmtId="0" fontId="65" fillId="0" borderId="136" xfId="0" applyFont="1" applyBorder="1" applyAlignment="1">
      <alignment wrapText="1"/>
    </xf>
    <xf numFmtId="0" fontId="58" fillId="30" borderId="71" xfId="0" applyFont="1" applyFill="1" applyBorder="1" applyAlignment="1" applyProtection="1">
      <alignment horizontal="center" vertical="center" wrapText="1"/>
      <protection hidden="1"/>
    </xf>
    <xf numFmtId="9" fontId="0" fillId="30" borderId="71" xfId="0" applyNumberFormat="1" applyFill="1" applyBorder="1" applyAlignment="1" applyProtection="1">
      <alignment horizontal="center" vertical="center" wrapText="1"/>
      <protection hidden="1"/>
    </xf>
    <xf numFmtId="0" fontId="58" fillId="30" borderId="113" xfId="0" applyFont="1" applyFill="1" applyBorder="1" applyAlignment="1" applyProtection="1">
      <alignment horizontal="center" vertical="center" wrapText="1"/>
      <protection hidden="1"/>
    </xf>
    <xf numFmtId="9" fontId="0" fillId="30" borderId="113" xfId="0" applyNumberFormat="1" applyFill="1" applyBorder="1" applyAlignment="1" applyProtection="1">
      <alignment horizontal="center" vertical="center" wrapText="1"/>
      <protection hidden="1"/>
    </xf>
    <xf numFmtId="0" fontId="58" fillId="30" borderId="113" xfId="0" applyFont="1" applyFill="1" applyBorder="1" applyAlignment="1" applyProtection="1">
      <alignment horizontal="center" vertical="center"/>
      <protection hidden="1"/>
    </xf>
    <xf numFmtId="0" fontId="0" fillId="30" borderId="2" xfId="0" applyFill="1" applyBorder="1" applyAlignment="1">
      <alignment horizontal="center" vertical="center"/>
    </xf>
    <xf numFmtId="0" fontId="58" fillId="30" borderId="106" xfId="0" applyFont="1" applyFill="1" applyBorder="1" applyAlignment="1" applyProtection="1">
      <alignment horizontal="center" vertical="center" wrapText="1"/>
      <protection hidden="1"/>
    </xf>
    <xf numFmtId="9" fontId="0" fillId="30" borderId="106" xfId="0" applyNumberFormat="1" applyFill="1" applyBorder="1" applyAlignment="1" applyProtection="1">
      <alignment horizontal="center" vertical="center" wrapText="1"/>
      <protection hidden="1"/>
    </xf>
    <xf numFmtId="0" fontId="58" fillId="30" borderId="106" xfId="0" applyFont="1" applyFill="1" applyBorder="1" applyAlignment="1" applyProtection="1">
      <alignment horizontal="center" vertical="center"/>
      <protection hidden="1"/>
    </xf>
    <xf numFmtId="0" fontId="0" fillId="30" borderId="108" xfId="0" applyFill="1" applyBorder="1" applyAlignment="1">
      <alignment horizontal="center" vertical="center"/>
    </xf>
    <xf numFmtId="0" fontId="5" fillId="3" borderId="71" xfId="0" applyFont="1" applyFill="1" applyBorder="1" applyAlignment="1">
      <alignment horizontal="center" vertical="center" wrapText="1"/>
    </xf>
    <xf numFmtId="0" fontId="5" fillId="3" borderId="81" xfId="0" applyFont="1" applyFill="1" applyBorder="1" applyAlignment="1">
      <alignment horizontal="center" vertical="center" wrapText="1"/>
    </xf>
    <xf numFmtId="0" fontId="15" fillId="3" borderId="113" xfId="0" applyFont="1" applyFill="1" applyBorder="1" applyAlignment="1" applyProtection="1">
      <alignment horizontal="center" vertical="center" wrapText="1"/>
      <protection locked="0"/>
    </xf>
    <xf numFmtId="0" fontId="15" fillId="3" borderId="114" xfId="0" applyFont="1" applyFill="1" applyBorder="1" applyAlignment="1" applyProtection="1">
      <alignment horizontal="center" vertical="center" wrapText="1"/>
      <protection locked="0"/>
    </xf>
    <xf numFmtId="0" fontId="15" fillId="3" borderId="115" xfId="0" applyFont="1" applyFill="1" applyBorder="1" applyAlignment="1" applyProtection="1">
      <alignment horizontal="center" vertical="center" wrapText="1"/>
      <protection locked="0"/>
    </xf>
    <xf numFmtId="0" fontId="15" fillId="3" borderId="107" xfId="0" applyFont="1" applyFill="1" applyBorder="1" applyAlignment="1" applyProtection="1">
      <alignment horizontal="center" vertical="center" wrapText="1"/>
      <protection locked="0"/>
    </xf>
    <xf numFmtId="0" fontId="15" fillId="3" borderId="118" xfId="0" applyFont="1" applyFill="1" applyBorder="1" applyAlignment="1" applyProtection="1">
      <alignment horizontal="center" vertical="center" wrapText="1"/>
      <protection locked="0"/>
    </xf>
    <xf numFmtId="0" fontId="5" fillId="3" borderId="72" xfId="0" applyFont="1" applyFill="1" applyBorder="1" applyAlignment="1">
      <alignment horizontal="center" vertical="center" wrapText="1"/>
    </xf>
    <xf numFmtId="0" fontId="0" fillId="3" borderId="71" xfId="0" applyFill="1" applyBorder="1" applyAlignment="1" applyProtection="1">
      <alignment horizontal="center" vertical="center"/>
      <protection locked="0"/>
    </xf>
    <xf numFmtId="0" fontId="0" fillId="3" borderId="105" xfId="0" applyFill="1" applyBorder="1" applyAlignment="1" applyProtection="1">
      <alignment horizontal="center" vertical="center" wrapText="1"/>
      <protection locked="0"/>
    </xf>
    <xf numFmtId="0" fontId="0" fillId="3" borderId="106" xfId="0" applyFill="1" applyBorder="1" applyAlignment="1" applyProtection="1">
      <alignment horizontal="center" vertical="center"/>
      <protection locked="0"/>
    </xf>
    <xf numFmtId="0" fontId="0" fillId="3" borderId="117" xfId="0" applyFill="1" applyBorder="1" applyAlignment="1" applyProtection="1">
      <alignment horizontal="center" vertical="center"/>
      <protection locked="0"/>
    </xf>
    <xf numFmtId="0" fontId="1" fillId="30" borderId="0" xfId="0" applyFont="1" applyFill="1" applyAlignment="1">
      <alignment horizontal="center"/>
    </xf>
    <xf numFmtId="0" fontId="15" fillId="3" borderId="106" xfId="0" applyFont="1" applyFill="1" applyBorder="1" applyAlignment="1" applyProtection="1">
      <alignment horizontal="center" vertical="center" wrapText="1"/>
      <protection locked="0"/>
    </xf>
    <xf numFmtId="0" fontId="0" fillId="3" borderId="119" xfId="0" applyFill="1" applyBorder="1" applyAlignment="1" applyProtection="1">
      <alignment horizontal="center" vertical="center"/>
      <protection locked="0"/>
    </xf>
    <xf numFmtId="0" fontId="64" fillId="0" borderId="97" xfId="0" applyFont="1" applyBorder="1" applyAlignment="1" applyProtection="1">
      <alignment horizontal="left" vertical="center" wrapText="1"/>
      <protection locked="0"/>
    </xf>
    <xf numFmtId="0" fontId="63" fillId="0" borderId="145" xfId="0" applyFont="1" applyBorder="1" applyAlignment="1">
      <alignment wrapText="1"/>
    </xf>
    <xf numFmtId="0" fontId="0" fillId="3" borderId="116" xfId="0" applyFill="1" applyBorder="1" applyAlignment="1" applyProtection="1">
      <alignment horizontal="center" vertical="center"/>
      <protection hidden="1"/>
    </xf>
    <xf numFmtId="0" fontId="0" fillId="3" borderId="2" xfId="0" applyFill="1" applyBorder="1" applyAlignment="1" applyProtection="1">
      <alignment horizontal="center" vertical="center" textRotation="90"/>
      <protection locked="0"/>
    </xf>
    <xf numFmtId="9" fontId="0" fillId="3" borderId="113" xfId="0" applyNumberFormat="1" applyFill="1" applyBorder="1" applyAlignment="1" applyProtection="1">
      <alignment horizontal="center" vertical="center"/>
      <protection hidden="1"/>
    </xf>
    <xf numFmtId="0" fontId="0" fillId="3" borderId="113" xfId="0" applyFill="1" applyBorder="1" applyAlignment="1" applyProtection="1">
      <alignment horizontal="center" vertical="center" textRotation="90"/>
      <protection locked="0"/>
    </xf>
    <xf numFmtId="164" fontId="0" fillId="3" borderId="113" xfId="1" applyNumberFormat="1" applyFont="1" applyFill="1" applyBorder="1" applyAlignment="1">
      <alignment horizontal="center" vertical="center"/>
    </xf>
    <xf numFmtId="0" fontId="58" fillId="3" borderId="113" xfId="0" applyFont="1" applyFill="1" applyBorder="1" applyAlignment="1" applyProtection="1">
      <alignment horizontal="center" vertical="center" textRotation="90" wrapText="1"/>
      <protection hidden="1"/>
    </xf>
    <xf numFmtId="0" fontId="58" fillId="3" borderId="113" xfId="0" applyFont="1" applyFill="1" applyBorder="1" applyAlignment="1" applyProtection="1">
      <alignment horizontal="center" vertical="center" textRotation="90"/>
      <protection hidden="1"/>
    </xf>
    <xf numFmtId="0" fontId="0" fillId="3" borderId="8" xfId="0" applyFill="1" applyBorder="1" applyAlignment="1" applyProtection="1">
      <alignment horizontal="center" vertical="center" wrapText="1"/>
      <protection locked="0"/>
    </xf>
    <xf numFmtId="0" fontId="62" fillId="3" borderId="117" xfId="0" applyFont="1" applyFill="1" applyBorder="1" applyAlignment="1" applyProtection="1">
      <alignment horizontal="center" vertical="center" wrapText="1"/>
      <protection locked="0"/>
    </xf>
    <xf numFmtId="0" fontId="0" fillId="3" borderId="106" xfId="0" applyFill="1" applyBorder="1" applyAlignment="1" applyProtection="1">
      <alignment horizontal="center" vertical="center" wrapText="1"/>
      <protection locked="0"/>
    </xf>
    <xf numFmtId="0" fontId="65" fillId="3" borderId="90" xfId="0" applyFont="1" applyFill="1" applyBorder="1" applyAlignment="1">
      <alignment wrapText="1"/>
    </xf>
    <xf numFmtId="0" fontId="0" fillId="3" borderId="105" xfId="0" applyFill="1" applyBorder="1" applyAlignment="1" applyProtection="1">
      <alignment horizontal="center" vertical="center"/>
      <protection hidden="1"/>
    </xf>
    <xf numFmtId="0" fontId="0" fillId="3" borderId="108" xfId="0" applyFill="1" applyBorder="1" applyAlignment="1" applyProtection="1">
      <alignment horizontal="center" vertical="center" textRotation="90"/>
      <protection locked="0"/>
    </xf>
    <xf numFmtId="9" fontId="0" fillId="3" borderId="106" xfId="0" applyNumberFormat="1" applyFill="1" applyBorder="1" applyAlignment="1" applyProtection="1">
      <alignment horizontal="center" vertical="center"/>
      <protection hidden="1"/>
    </xf>
    <xf numFmtId="0" fontId="0" fillId="3" borderId="106" xfId="0" applyFill="1" applyBorder="1" applyAlignment="1" applyProtection="1">
      <alignment horizontal="center" vertical="center" textRotation="90"/>
      <protection locked="0"/>
    </xf>
    <xf numFmtId="164" fontId="0" fillId="3" borderId="106" xfId="1" applyNumberFormat="1" applyFont="1" applyFill="1" applyBorder="1" applyAlignment="1">
      <alignment horizontal="center" vertical="center"/>
    </xf>
    <xf numFmtId="0" fontId="58" fillId="3" borderId="106" xfId="0" applyFont="1" applyFill="1" applyBorder="1" applyAlignment="1" applyProtection="1">
      <alignment horizontal="center" vertical="center" textRotation="90" wrapText="1"/>
      <protection hidden="1"/>
    </xf>
    <xf numFmtId="0" fontId="58" fillId="3" borderId="106" xfId="0" applyFont="1" applyFill="1" applyBorder="1" applyAlignment="1" applyProtection="1">
      <alignment horizontal="center" vertical="center" textRotation="90"/>
      <protection hidden="1"/>
    </xf>
    <xf numFmtId="0" fontId="0" fillId="3" borderId="87" xfId="0" applyFill="1" applyBorder="1" applyAlignment="1" applyProtection="1">
      <alignment horizontal="center" vertical="center" textRotation="90"/>
      <protection locked="0"/>
    </xf>
    <xf numFmtId="0" fontId="15" fillId="3" borderId="119" xfId="0" applyFont="1" applyFill="1" applyBorder="1" applyAlignment="1" applyProtection="1">
      <alignment horizontal="center" vertical="center" wrapText="1"/>
      <protection locked="0"/>
    </xf>
    <xf numFmtId="0" fontId="15" fillId="3" borderId="120" xfId="0" applyFont="1" applyFill="1" applyBorder="1" applyAlignment="1" applyProtection="1">
      <alignment horizontal="center" vertical="center" wrapText="1"/>
      <protection locked="0"/>
    </xf>
    <xf numFmtId="0" fontId="0" fillId="3" borderId="133" xfId="0" applyFill="1" applyBorder="1" applyAlignment="1" applyProtection="1">
      <alignment horizontal="center" vertical="center"/>
      <protection locked="0"/>
    </xf>
    <xf numFmtId="0" fontId="0" fillId="0" borderId="95" xfId="0" applyBorder="1" applyAlignment="1">
      <alignment horizontal="center" vertical="center"/>
    </xf>
    <xf numFmtId="0" fontId="63" fillId="0" borderId="135" xfId="0" applyFont="1" applyBorder="1"/>
    <xf numFmtId="0" fontId="63" fillId="0" borderId="0" xfId="0" applyFont="1"/>
    <xf numFmtId="0" fontId="63" fillId="0" borderId="139" xfId="0" applyFont="1" applyBorder="1"/>
    <xf numFmtId="0" fontId="63" fillId="0" borderId="144" xfId="0" applyFont="1" applyBorder="1"/>
    <xf numFmtId="0" fontId="0" fillId="3" borderId="72" xfId="0" applyFill="1" applyBorder="1" applyAlignment="1">
      <alignment horizontal="center" vertical="center"/>
    </xf>
    <xf numFmtId="0" fontId="63" fillId="3" borderId="0" xfId="0" applyFont="1" applyFill="1"/>
    <xf numFmtId="0" fontId="63" fillId="3" borderId="139" xfId="0" applyFont="1" applyFill="1" applyBorder="1"/>
    <xf numFmtId="0" fontId="0" fillId="3" borderId="2" xfId="0" applyFill="1" applyBorder="1" applyAlignment="1">
      <alignment horizontal="center" vertical="center"/>
    </xf>
    <xf numFmtId="0" fontId="0" fillId="3" borderId="108" xfId="0" applyFill="1" applyBorder="1" applyAlignment="1">
      <alignment horizontal="center" vertical="center"/>
    </xf>
    <xf numFmtId="0" fontId="63" fillId="0" borderId="135" xfId="0" applyFont="1" applyBorder="1" applyAlignment="1">
      <alignment horizontal="center" vertical="center"/>
    </xf>
    <xf numFmtId="0" fontId="63" fillId="0" borderId="135" xfId="0" applyFont="1" applyBorder="1" applyAlignment="1">
      <alignment horizontal="center" vertical="center" textRotation="90"/>
    </xf>
    <xf numFmtId="9" fontId="63" fillId="0" borderId="135" xfId="0" applyNumberFormat="1" applyFont="1" applyBorder="1" applyAlignment="1">
      <alignment horizontal="center" vertical="center"/>
    </xf>
    <xf numFmtId="10" fontId="63" fillId="0" borderId="135" xfId="0" applyNumberFormat="1" applyFont="1" applyBorder="1" applyAlignment="1">
      <alignment horizontal="center" vertical="center"/>
    </xf>
    <xf numFmtId="9" fontId="63" fillId="0" borderId="90" xfId="0" applyNumberFormat="1" applyFont="1" applyBorder="1" applyAlignment="1">
      <alignment wrapText="1"/>
    </xf>
    <xf numFmtId="0" fontId="63" fillId="0" borderId="90" xfId="0" applyFont="1" applyBorder="1" applyAlignment="1">
      <alignment horizontal="center" vertical="center"/>
    </xf>
    <xf numFmtId="0" fontId="63" fillId="0" borderId="137" xfId="0" applyFont="1" applyBorder="1" applyAlignment="1">
      <alignment horizontal="center" vertical="center" textRotation="90"/>
    </xf>
    <xf numFmtId="9" fontId="63" fillId="0" borderId="90" xfId="0" applyNumberFormat="1" applyFont="1" applyBorder="1" applyAlignment="1">
      <alignment horizontal="center" vertical="center"/>
    </xf>
    <xf numFmtId="10" fontId="63" fillId="0" borderId="90" xfId="0" applyNumberFormat="1" applyFont="1" applyBorder="1" applyAlignment="1">
      <alignment horizontal="center" vertical="center"/>
    </xf>
    <xf numFmtId="0" fontId="63" fillId="0" borderId="90" xfId="0" applyFont="1" applyBorder="1" applyAlignment="1">
      <alignment horizontal="center" vertical="center" textRotation="90"/>
    </xf>
    <xf numFmtId="0" fontId="63" fillId="0" borderId="137" xfId="0" applyFont="1" applyBorder="1" applyAlignment="1">
      <alignment horizontal="center" vertical="center" wrapText="1"/>
    </xf>
    <xf numFmtId="0" fontId="63" fillId="0" borderId="90" xfId="0" applyFont="1" applyBorder="1" applyAlignment="1">
      <alignment horizontal="center" vertical="center" wrapText="1"/>
    </xf>
    <xf numFmtId="9" fontId="63" fillId="0" borderId="139" xfId="0" applyNumberFormat="1" applyFont="1" applyBorder="1" applyAlignment="1">
      <alignment wrapText="1"/>
    </xf>
    <xf numFmtId="0" fontId="63" fillId="0" borderId="140" xfId="0" applyFont="1" applyBorder="1" applyAlignment="1">
      <alignment horizontal="center" vertical="center" textRotation="90"/>
    </xf>
    <xf numFmtId="0" fontId="63" fillId="0" borderId="142" xfId="0" applyFont="1" applyBorder="1" applyAlignment="1">
      <alignment horizontal="center" vertical="center" wrapText="1"/>
    </xf>
    <xf numFmtId="9" fontId="63" fillId="0" borderId="144" xfId="0" applyNumberFormat="1" applyFont="1" applyBorder="1" applyAlignment="1">
      <alignment wrapText="1"/>
    </xf>
    <xf numFmtId="0" fontId="63" fillId="0" borderId="144" xfId="0" applyFont="1" applyBorder="1" applyAlignment="1">
      <alignment horizontal="center" vertical="center"/>
    </xf>
    <xf numFmtId="0" fontId="63" fillId="0" borderId="144" xfId="0" applyFont="1" applyBorder="1" applyAlignment="1">
      <alignment horizontal="center" vertical="center" textRotation="90"/>
    </xf>
    <xf numFmtId="9" fontId="63" fillId="0" borderId="144" xfId="0" applyNumberFormat="1" applyFont="1" applyBorder="1" applyAlignment="1">
      <alignment horizontal="center" vertical="center"/>
    </xf>
    <xf numFmtId="0" fontId="63" fillId="0" borderId="146" xfId="0" applyFont="1" applyBorder="1" applyAlignment="1">
      <alignment horizontal="center" vertical="center" textRotation="90"/>
    </xf>
    <xf numFmtId="0" fontId="63" fillId="0" borderId="147" xfId="0" applyFont="1" applyBorder="1" applyAlignment="1">
      <alignment horizontal="center" vertical="center" textRotation="90"/>
    </xf>
    <xf numFmtId="10" fontId="63" fillId="0" borderId="144" xfId="0" applyNumberFormat="1" applyFont="1" applyBorder="1" applyAlignment="1">
      <alignment horizontal="center" vertical="center"/>
    </xf>
    <xf numFmtId="0" fontId="63" fillId="0" borderId="144" xfId="0" applyFont="1" applyBorder="1" applyAlignment="1">
      <alignment horizontal="center" vertical="center" wrapText="1"/>
    </xf>
    <xf numFmtId="0" fontId="57" fillId="18" borderId="4" xfId="0" applyFont="1" applyFill="1" applyBorder="1" applyAlignment="1">
      <alignment horizontal="center" vertical="center" wrapText="1"/>
    </xf>
    <xf numFmtId="0" fontId="0" fillId="3" borderId="73" xfId="0" applyFill="1" applyBorder="1" applyAlignment="1">
      <alignment horizontal="center" vertical="center" wrapText="1"/>
    </xf>
    <xf numFmtId="0" fontId="0" fillId="0" borderId="151" xfId="0" applyBorder="1" applyAlignment="1">
      <alignment horizontal="center" vertical="center"/>
    </xf>
    <xf numFmtId="0" fontId="0" fillId="0" borderId="152" xfId="0" applyBorder="1" applyAlignment="1">
      <alignment horizontal="center" vertical="center"/>
    </xf>
    <xf numFmtId="0" fontId="0" fillId="0" borderId="30" xfId="0" applyBorder="1" applyAlignment="1">
      <alignment horizontal="center" vertical="center"/>
    </xf>
    <xf numFmtId="0" fontId="58" fillId="0" borderId="148" xfId="0" applyFont="1" applyBorder="1" applyAlignment="1">
      <alignment horizontal="center"/>
    </xf>
    <xf numFmtId="0" fontId="58" fillId="0" borderId="149" xfId="0" applyFont="1" applyBorder="1" applyAlignment="1">
      <alignment horizontal="center"/>
    </xf>
    <xf numFmtId="0" fontId="58" fillId="0" borderId="150" xfId="0" applyFont="1" applyBorder="1" applyAlignment="1">
      <alignment horizontal="center"/>
    </xf>
    <xf numFmtId="0" fontId="58" fillId="13" borderId="151" xfId="0" applyFont="1" applyFill="1" applyBorder="1" applyAlignment="1">
      <alignment horizontal="center" vertical="center"/>
    </xf>
    <xf numFmtId="0" fontId="58" fillId="13" borderId="152" xfId="0" applyFont="1" applyFill="1" applyBorder="1" applyAlignment="1">
      <alignment horizontal="center" vertical="center"/>
    </xf>
    <xf numFmtId="0" fontId="58" fillId="13" borderId="30" xfId="0" applyFont="1" applyFill="1" applyBorder="1" applyAlignment="1">
      <alignment horizontal="center" vertical="center"/>
    </xf>
    <xf numFmtId="0" fontId="58" fillId="27" borderId="151" xfId="0" applyFont="1" applyFill="1" applyBorder="1" applyAlignment="1">
      <alignment horizontal="center" vertical="center" wrapText="1"/>
    </xf>
    <xf numFmtId="0" fontId="58" fillId="27" borderId="152" xfId="0" applyFont="1" applyFill="1" applyBorder="1" applyAlignment="1">
      <alignment horizontal="center" vertical="center"/>
    </xf>
    <xf numFmtId="0" fontId="58" fillId="27" borderId="30" xfId="0" applyFont="1" applyFill="1" applyBorder="1" applyAlignment="1">
      <alignment horizontal="center" vertical="center"/>
    </xf>
    <xf numFmtId="0" fontId="58" fillId="28" borderId="151" xfId="0" applyFont="1" applyFill="1" applyBorder="1" applyAlignment="1">
      <alignment horizontal="center" vertical="center"/>
    </xf>
    <xf numFmtId="0" fontId="58" fillId="28" borderId="152" xfId="0" applyFont="1" applyFill="1" applyBorder="1" applyAlignment="1">
      <alignment horizontal="center" vertical="center"/>
    </xf>
    <xf numFmtId="0" fontId="58" fillId="28" borderId="30" xfId="0" applyFont="1" applyFill="1" applyBorder="1" applyAlignment="1">
      <alignment horizontal="center" vertical="center"/>
    </xf>
    <xf numFmtId="0" fontId="58" fillId="29" borderId="151" xfId="0" applyFont="1" applyFill="1" applyBorder="1" applyAlignment="1">
      <alignment horizontal="center" vertical="center"/>
    </xf>
    <xf numFmtId="0" fontId="58" fillId="29" borderId="152" xfId="0" applyFont="1" applyFill="1" applyBorder="1" applyAlignment="1">
      <alignment horizontal="center" vertical="center"/>
    </xf>
    <xf numFmtId="0" fontId="58" fillId="29" borderId="30" xfId="0" applyFont="1" applyFill="1" applyBorder="1" applyAlignment="1">
      <alignment horizontal="center" vertical="center"/>
    </xf>
    <xf numFmtId="0" fontId="58" fillId="15" borderId="151" xfId="0" applyFont="1" applyFill="1" applyBorder="1" applyAlignment="1">
      <alignment horizontal="center" vertical="center"/>
    </xf>
    <xf numFmtId="0" fontId="58" fillId="15" borderId="152" xfId="0" applyFont="1" applyFill="1" applyBorder="1" applyAlignment="1">
      <alignment horizontal="center" vertical="center"/>
    </xf>
    <xf numFmtId="0" fontId="58" fillId="15" borderId="30" xfId="0" applyFont="1" applyFill="1" applyBorder="1" applyAlignment="1">
      <alignment horizontal="center" vertical="center"/>
    </xf>
    <xf numFmtId="0" fontId="58" fillId="30" borderId="151" xfId="0" applyFont="1" applyFill="1" applyBorder="1" applyAlignment="1">
      <alignment horizontal="center" vertical="center"/>
    </xf>
    <xf numFmtId="0" fontId="58" fillId="30" borderId="152" xfId="0" applyFont="1" applyFill="1" applyBorder="1" applyAlignment="1">
      <alignment horizontal="center" vertical="center"/>
    </xf>
    <xf numFmtId="0" fontId="58" fillId="30" borderId="29" xfId="0" applyFont="1" applyFill="1" applyBorder="1" applyAlignment="1">
      <alignment horizontal="center" vertical="center"/>
    </xf>
    <xf numFmtId="0" fontId="58" fillId="30" borderId="30" xfId="0" applyFont="1" applyFill="1" applyBorder="1" applyAlignment="1">
      <alignment horizontal="center" vertical="center"/>
    </xf>
    <xf numFmtId="0" fontId="58" fillId="0" borderId="148" xfId="0" applyFont="1" applyBorder="1" applyAlignment="1">
      <alignment horizontal="center" vertical="center"/>
    </xf>
    <xf numFmtId="0" fontId="58" fillId="0" borderId="150" xfId="0" applyFont="1" applyBorder="1" applyAlignment="1">
      <alignment horizontal="center" vertical="center"/>
    </xf>
    <xf numFmtId="0" fontId="0" fillId="0" borderId="151" xfId="0" applyBorder="1" applyAlignment="1">
      <alignment horizontal="center" vertical="center" wrapText="1"/>
    </xf>
    <xf numFmtId="0" fontId="0" fillId="0" borderId="152" xfId="0" applyBorder="1" applyAlignment="1">
      <alignment horizontal="center" vertical="center" wrapText="1"/>
    </xf>
    <xf numFmtId="0" fontId="0" fillId="0" borderId="30" xfId="0" applyBorder="1" applyAlignment="1">
      <alignment horizontal="center" vertical="center" wrapText="1"/>
    </xf>
    <xf numFmtId="0" fontId="0" fillId="0" borderId="151" xfId="0" applyBorder="1" applyAlignment="1">
      <alignment wrapText="1"/>
    </xf>
    <xf numFmtId="0" fontId="0" fillId="0" borderId="152" xfId="0" applyBorder="1" applyAlignment="1">
      <alignment wrapText="1"/>
    </xf>
    <xf numFmtId="0" fontId="0" fillId="0" borderId="30" xfId="0" applyBorder="1" applyAlignment="1">
      <alignment wrapText="1"/>
    </xf>
    <xf numFmtId="0" fontId="0" fillId="0" borderId="151" xfId="0" applyBorder="1" applyAlignment="1">
      <alignment vertical="top" wrapText="1"/>
    </xf>
    <xf numFmtId="0" fontId="0" fillId="0" borderId="152" xfId="0" applyBorder="1" applyAlignment="1">
      <alignment vertical="top" wrapText="1"/>
    </xf>
    <xf numFmtId="0" fontId="0" fillId="0" borderId="30" xfId="0" applyBorder="1" applyAlignment="1">
      <alignment vertical="top" wrapText="1"/>
    </xf>
    <xf numFmtId="0" fontId="49" fillId="14" borderId="44" xfId="2" applyFont="1" applyFill="1" applyBorder="1" applyAlignment="1">
      <alignment horizontal="center" vertical="center" wrapText="1"/>
    </xf>
    <xf numFmtId="0" fontId="49" fillId="14" borderId="45" xfId="2" applyFont="1" applyFill="1" applyBorder="1" applyAlignment="1">
      <alignment horizontal="center" vertical="center" wrapText="1"/>
    </xf>
    <xf numFmtId="0" fontId="49" fillId="14" borderId="46" xfId="2" applyFont="1" applyFill="1" applyBorder="1" applyAlignment="1">
      <alignment horizontal="center" vertical="center" wrapText="1"/>
    </xf>
    <xf numFmtId="0" fontId="48" fillId="0" borderId="14"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15" xfId="2" quotePrefix="1" applyFont="1" applyBorder="1" applyAlignment="1">
      <alignment horizontal="left" vertical="center" wrapText="1"/>
    </xf>
    <xf numFmtId="0" fontId="48" fillId="0" borderId="64" xfId="2" quotePrefix="1" applyFont="1" applyBorder="1" applyAlignment="1">
      <alignment horizontal="left" vertical="center" wrapText="1"/>
    </xf>
    <xf numFmtId="0" fontId="48" fillId="0" borderId="65" xfId="2" quotePrefix="1" applyFont="1" applyBorder="1" applyAlignment="1">
      <alignment horizontal="left" vertical="center" wrapText="1"/>
    </xf>
    <xf numFmtId="0" fontId="48" fillId="0" borderId="66" xfId="2" quotePrefix="1" applyFont="1" applyBorder="1" applyAlignment="1">
      <alignment horizontal="left" vertical="center" wrapText="1"/>
    </xf>
    <xf numFmtId="0" fontId="50" fillId="3" borderId="47" xfId="2" quotePrefix="1" applyFont="1" applyFill="1" applyBorder="1" applyAlignment="1">
      <alignment horizontal="left" vertical="top" wrapText="1"/>
    </xf>
    <xf numFmtId="0" fontId="51" fillId="3" borderId="48" xfId="2" quotePrefix="1" applyFont="1" applyFill="1" applyBorder="1" applyAlignment="1">
      <alignment horizontal="left" vertical="top" wrapText="1"/>
    </xf>
    <xf numFmtId="0" fontId="51" fillId="3" borderId="49" xfId="2" quotePrefix="1" applyFont="1" applyFill="1" applyBorder="1" applyAlignment="1">
      <alignment horizontal="left" vertical="top" wrapText="1"/>
    </xf>
    <xf numFmtId="0" fontId="48" fillId="0" borderId="14"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15" xfId="2" quotePrefix="1" applyFont="1" applyBorder="1" applyAlignment="1">
      <alignment horizontal="left" vertical="top" wrapText="1"/>
    </xf>
    <xf numFmtId="0" fontId="53" fillId="14" borderId="50" xfId="3" applyFont="1" applyFill="1" applyBorder="1" applyAlignment="1">
      <alignment horizontal="center" vertical="center" wrapText="1"/>
    </xf>
    <xf numFmtId="0" fontId="53" fillId="14" borderId="51" xfId="3" applyFont="1" applyFill="1" applyBorder="1" applyAlignment="1">
      <alignment horizontal="center" vertical="center" wrapText="1"/>
    </xf>
    <xf numFmtId="0" fontId="53" fillId="14" borderId="52" xfId="2" applyFont="1" applyFill="1" applyBorder="1" applyAlignment="1">
      <alignment horizontal="center" vertical="center"/>
    </xf>
    <xf numFmtId="0" fontId="53" fillId="14" borderId="53" xfId="2" applyFont="1" applyFill="1" applyBorder="1" applyAlignment="1">
      <alignment horizontal="center" vertical="center"/>
    </xf>
    <xf numFmtId="0" fontId="2" fillId="3" borderId="64" xfId="2" quotePrefix="1" applyFont="1" applyFill="1" applyBorder="1" applyAlignment="1">
      <alignment horizontal="justify" vertical="center" wrapText="1"/>
    </xf>
    <xf numFmtId="0" fontId="2" fillId="3" borderId="65" xfId="2" quotePrefix="1" applyFont="1" applyFill="1" applyBorder="1" applyAlignment="1">
      <alignment horizontal="justify" vertical="center" wrapText="1"/>
    </xf>
    <xf numFmtId="0" fontId="2" fillId="3" borderId="66" xfId="2" quotePrefix="1" applyFont="1" applyFill="1" applyBorder="1" applyAlignment="1">
      <alignment horizontal="justify" vertical="center" wrapText="1"/>
    </xf>
    <xf numFmtId="0" fontId="53" fillId="3" borderId="54" xfId="3" applyFont="1" applyFill="1" applyBorder="1" applyAlignment="1">
      <alignment horizontal="left" vertical="top" wrapText="1" readingOrder="1"/>
    </xf>
    <xf numFmtId="0" fontId="53" fillId="3" borderId="55" xfId="3" applyFont="1" applyFill="1" applyBorder="1" applyAlignment="1">
      <alignment horizontal="left" vertical="top" wrapText="1" readingOrder="1"/>
    </xf>
    <xf numFmtId="0" fontId="54" fillId="3" borderId="56" xfId="2" applyFont="1" applyFill="1" applyBorder="1" applyAlignment="1">
      <alignment horizontal="justify" vertical="center" wrapText="1"/>
    </xf>
    <xf numFmtId="0" fontId="54" fillId="3" borderId="57" xfId="2" applyFont="1" applyFill="1" applyBorder="1" applyAlignment="1">
      <alignment horizontal="justify" vertical="center" wrapText="1"/>
    </xf>
    <xf numFmtId="0" fontId="53" fillId="3" borderId="58" xfId="0" applyFont="1" applyFill="1" applyBorder="1" applyAlignment="1">
      <alignment horizontal="left" vertical="center" wrapText="1"/>
    </xf>
    <xf numFmtId="0" fontId="53" fillId="3" borderId="59" xfId="0" applyFont="1" applyFill="1" applyBorder="1" applyAlignment="1">
      <alignment horizontal="left" vertical="center" wrapText="1"/>
    </xf>
    <xf numFmtId="0" fontId="54" fillId="3" borderId="60" xfId="2" applyFont="1" applyFill="1" applyBorder="1" applyAlignment="1">
      <alignment horizontal="justify" vertical="center" wrapText="1"/>
    </xf>
    <xf numFmtId="0" fontId="54" fillId="3" borderId="61" xfId="2" applyFont="1" applyFill="1" applyBorder="1" applyAlignment="1">
      <alignment horizontal="justify" vertical="center" wrapText="1"/>
    </xf>
    <xf numFmtId="0" fontId="48" fillId="3" borderId="14"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15" xfId="2" applyFont="1" applyFill="1" applyBorder="1" applyAlignment="1">
      <alignment horizontal="left" vertical="top" wrapText="1"/>
    </xf>
    <xf numFmtId="0" fontId="53" fillId="3" borderId="67" xfId="0" applyFont="1" applyFill="1" applyBorder="1" applyAlignment="1">
      <alignment horizontal="left" vertical="center" wrapText="1"/>
    </xf>
    <xf numFmtId="0" fontId="53" fillId="3" borderId="68" xfId="0" applyFont="1" applyFill="1" applyBorder="1" applyAlignment="1">
      <alignment horizontal="left" vertical="center" wrapText="1"/>
    </xf>
    <xf numFmtId="0" fontId="53" fillId="3" borderId="69" xfId="0" applyFont="1" applyFill="1" applyBorder="1" applyAlignment="1">
      <alignment horizontal="left" vertical="center" wrapText="1"/>
    </xf>
    <xf numFmtId="0" fontId="53" fillId="3" borderId="70" xfId="0" applyFont="1" applyFill="1" applyBorder="1" applyAlignment="1">
      <alignment horizontal="left" vertical="center" wrapText="1"/>
    </xf>
    <xf numFmtId="0" fontId="54" fillId="3" borderId="62" xfId="0" applyFont="1" applyFill="1" applyBorder="1" applyAlignment="1">
      <alignment horizontal="justify" vertical="center" wrapText="1"/>
    </xf>
    <xf numFmtId="0" fontId="54" fillId="3" borderId="63" xfId="0" applyFont="1" applyFill="1" applyBorder="1" applyAlignment="1">
      <alignment horizontal="justify" vertical="center" wrapText="1"/>
    </xf>
    <xf numFmtId="0" fontId="0" fillId="0" borderId="73" xfId="0" applyBorder="1" applyAlignment="1">
      <alignment horizontal="center" vertical="center"/>
    </xf>
    <xf numFmtId="0" fontId="0" fillId="0" borderId="81" xfId="0" applyBorder="1" applyAlignment="1">
      <alignment horizontal="center" vertical="center"/>
    </xf>
    <xf numFmtId="0" fontId="0" fillId="0" borderId="73" xfId="0" applyBorder="1" applyAlignment="1">
      <alignment horizontal="center" vertical="center" wrapText="1"/>
    </xf>
    <xf numFmtId="0" fontId="0" fillId="0" borderId="81" xfId="0" applyBorder="1" applyAlignment="1">
      <alignment horizontal="center" vertical="center" wrapText="1"/>
    </xf>
    <xf numFmtId="0" fontId="15" fillId="0" borderId="73" xfId="0" applyFont="1" applyBorder="1" applyAlignment="1" applyProtection="1">
      <alignment horizontal="center" vertical="center" wrapText="1"/>
      <protection locked="0"/>
    </xf>
    <xf numFmtId="0" fontId="15" fillId="0" borderId="81" xfId="0" applyFont="1" applyBorder="1" applyAlignment="1" applyProtection="1">
      <alignment horizontal="center" vertical="center" wrapText="1"/>
      <protection locked="0"/>
    </xf>
    <xf numFmtId="0" fontId="0" fillId="0" borderId="75" xfId="0" applyBorder="1" applyAlignment="1">
      <alignment horizontal="center" vertical="center" wrapText="1"/>
    </xf>
    <xf numFmtId="0" fontId="15" fillId="0" borderId="8" xfId="0" applyFont="1" applyBorder="1" applyAlignment="1" applyProtection="1">
      <alignment horizontal="center" vertical="center" wrapText="1"/>
      <protection locked="0"/>
    </xf>
    <xf numFmtId="0" fontId="15" fillId="0" borderId="106" xfId="0" applyFont="1" applyBorder="1" applyAlignment="1" applyProtection="1">
      <alignment horizontal="center" vertical="center" wrapText="1"/>
      <protection locked="0"/>
    </xf>
    <xf numFmtId="0" fontId="15" fillId="3" borderId="123" xfId="0" applyFont="1" applyFill="1" applyBorder="1" applyAlignment="1" applyProtection="1">
      <alignment horizontal="center" vertical="center" wrapText="1"/>
      <protection locked="0"/>
    </xf>
    <xf numFmtId="0" fontId="15" fillId="3" borderId="107" xfId="0" applyFont="1" applyFill="1" applyBorder="1" applyAlignment="1" applyProtection="1">
      <alignment horizontal="center" vertical="center" wrapText="1"/>
      <protection locked="0"/>
    </xf>
    <xf numFmtId="0" fontId="15" fillId="3" borderId="112" xfId="0" applyFont="1" applyFill="1" applyBorder="1" applyAlignment="1" applyProtection="1">
      <alignment horizontal="left" vertical="center" wrapText="1"/>
      <protection locked="0"/>
    </xf>
    <xf numFmtId="0" fontId="15" fillId="3" borderId="105" xfId="0" applyFont="1" applyFill="1" applyBorder="1" applyAlignment="1" applyProtection="1">
      <alignment horizontal="left" vertical="center" wrapText="1"/>
      <protection locked="0"/>
    </xf>
    <xf numFmtId="0" fontId="15" fillId="0" borderId="123" xfId="0" applyFont="1" applyBorder="1" applyAlignment="1" applyProtection="1">
      <alignment horizontal="center" vertical="center" wrapText="1"/>
      <protection locked="0"/>
    </xf>
    <xf numFmtId="0" fontId="15" fillId="0" borderId="107" xfId="0" applyFont="1" applyBorder="1" applyAlignment="1" applyProtection="1">
      <alignment horizontal="center" vertical="center" wrapText="1"/>
      <protection locked="0"/>
    </xf>
    <xf numFmtId="0" fontId="15" fillId="0" borderId="153" xfId="0" applyFont="1" applyBorder="1" applyAlignment="1" applyProtection="1">
      <alignment horizontal="center" vertical="center" wrapText="1"/>
      <protection locked="0"/>
    </xf>
    <xf numFmtId="0" fontId="15" fillId="0" borderId="75" xfId="0" applyFont="1" applyBorder="1" applyAlignment="1" applyProtection="1">
      <alignment horizontal="left" vertical="center" wrapText="1"/>
      <protection locked="0"/>
    </xf>
    <xf numFmtId="0" fontId="15" fillId="0" borderId="81" xfId="0" applyFont="1" applyBorder="1" applyAlignment="1" applyProtection="1">
      <alignment horizontal="left" vertical="center" wrapText="1"/>
      <protection locked="0"/>
    </xf>
    <xf numFmtId="0" fontId="0" fillId="0" borderId="103" xfId="0" applyBorder="1" applyAlignment="1">
      <alignment horizontal="center" vertical="center"/>
    </xf>
    <xf numFmtId="0" fontId="0" fillId="0" borderId="107" xfId="0" applyBorder="1" applyAlignment="1">
      <alignment horizontal="center" vertical="center"/>
    </xf>
    <xf numFmtId="0" fontId="0" fillId="0" borderId="153" xfId="0" applyBorder="1" applyAlignment="1" applyProtection="1">
      <alignment horizontal="center" vertical="center" wrapText="1"/>
      <protection locked="0"/>
    </xf>
    <xf numFmtId="0" fontId="0" fillId="0" borderId="106" xfId="0" applyBorder="1" applyAlignment="1" applyProtection="1">
      <alignment horizontal="center" vertical="center" wrapText="1"/>
      <protection locked="0"/>
    </xf>
    <xf numFmtId="0" fontId="0" fillId="3" borderId="73" xfId="0" applyFill="1" applyBorder="1" applyAlignment="1">
      <alignment horizontal="center" vertical="center" wrapText="1"/>
    </xf>
    <xf numFmtId="0" fontId="0" fillId="3" borderId="75" xfId="0" applyFill="1" applyBorder="1" applyAlignment="1">
      <alignment horizontal="center" vertical="center" wrapText="1"/>
    </xf>
    <xf numFmtId="0" fontId="0" fillId="0" borderId="73" xfId="0" applyBorder="1" applyAlignment="1" applyProtection="1">
      <alignment horizontal="center" vertical="center" wrapText="1"/>
      <protection locked="0"/>
    </xf>
    <xf numFmtId="0" fontId="0" fillId="0" borderId="81" xfId="0" applyBorder="1" applyAlignment="1" applyProtection="1">
      <alignment horizontal="center" vertical="center" wrapText="1"/>
      <protection locked="0"/>
    </xf>
    <xf numFmtId="0" fontId="15" fillId="0" borderId="76" xfId="0" applyFont="1" applyBorder="1" applyAlignment="1">
      <alignment horizontal="center" vertical="center"/>
    </xf>
    <xf numFmtId="0" fontId="15" fillId="0" borderId="105" xfId="0" applyFont="1" applyBorder="1" applyAlignment="1">
      <alignment horizontal="center" vertical="center"/>
    </xf>
    <xf numFmtId="0" fontId="0" fillId="0" borderId="98" xfId="0" applyBorder="1" applyAlignment="1" applyProtection="1">
      <alignment horizontal="center" vertical="center" wrapText="1"/>
      <protection locked="0"/>
    </xf>
    <xf numFmtId="0" fontId="0" fillId="0" borderId="75" xfId="0"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87" xfId="0" applyFont="1" applyBorder="1" applyAlignment="1" applyProtection="1">
      <alignment horizontal="center" vertical="center" wrapText="1"/>
      <protection locked="0"/>
    </xf>
    <xf numFmtId="0" fontId="0" fillId="0" borderId="127" xfId="0" applyBorder="1" applyAlignment="1">
      <alignment horizontal="center" vertical="center" wrapText="1"/>
    </xf>
    <xf numFmtId="0" fontId="0" fillId="0" borderId="128" xfId="0" applyBorder="1" applyAlignment="1">
      <alignment horizontal="center" vertical="center" wrapText="1"/>
    </xf>
    <xf numFmtId="0" fontId="0" fillId="3" borderId="86" xfId="0" applyFill="1" applyBorder="1" applyAlignment="1" applyProtection="1">
      <alignment horizontal="center" vertical="center" wrapText="1"/>
      <protection locked="0"/>
    </xf>
    <xf numFmtId="0" fontId="0" fillId="3" borderId="81" xfId="0" applyFill="1" applyBorder="1" applyAlignment="1" applyProtection="1">
      <alignment horizontal="center" vertical="center" wrapText="1"/>
      <protection locked="0"/>
    </xf>
    <xf numFmtId="0" fontId="15" fillId="0" borderId="104" xfId="0" applyFont="1" applyBorder="1" applyAlignment="1" applyProtection="1">
      <alignment horizontal="center" vertical="center" wrapText="1"/>
      <protection locked="0"/>
    </xf>
    <xf numFmtId="0" fontId="15" fillId="0" borderId="105" xfId="0" applyFont="1" applyBorder="1" applyAlignment="1" applyProtection="1">
      <alignment horizontal="center" vertical="center" wrapText="1"/>
      <protection locked="0"/>
    </xf>
    <xf numFmtId="0" fontId="64" fillId="0" borderId="8" xfId="0" applyFont="1" applyBorder="1" applyAlignment="1" applyProtection="1">
      <alignment horizontal="center" vertical="center" wrapText="1"/>
      <protection locked="0"/>
    </xf>
    <xf numFmtId="0" fontId="64" fillId="0" borderId="106" xfId="0" applyFont="1" applyBorder="1" applyAlignment="1" applyProtection="1">
      <alignment horizontal="center" vertical="center" wrapText="1"/>
      <protection locked="0"/>
    </xf>
    <xf numFmtId="0" fontId="15" fillId="0" borderId="73" xfId="0" applyFont="1" applyBorder="1" applyAlignment="1" applyProtection="1">
      <alignment horizontal="left" vertical="center" wrapText="1"/>
      <protection locked="0"/>
    </xf>
    <xf numFmtId="0" fontId="0" fillId="0" borderId="98" xfId="0" applyBorder="1" applyAlignment="1">
      <alignment horizontal="center" vertical="center" wrapText="1"/>
    </xf>
    <xf numFmtId="0" fontId="0" fillId="0" borderId="106" xfId="0" applyBorder="1" applyAlignment="1">
      <alignment horizontal="center" vertical="center" wrapText="1"/>
    </xf>
    <xf numFmtId="0" fontId="0" fillId="0" borderId="86" xfId="0" applyBorder="1" applyAlignment="1" applyProtection="1">
      <alignment horizontal="center" vertical="center" wrapText="1"/>
      <protection locked="0"/>
    </xf>
    <xf numFmtId="0" fontId="15" fillId="0" borderId="86" xfId="0" applyFont="1" applyBorder="1" applyAlignment="1" applyProtection="1">
      <alignment horizontal="left" vertical="center" wrapText="1"/>
      <protection locked="0"/>
    </xf>
    <xf numFmtId="0" fontId="0" fillId="0" borderId="99" xfId="0" applyBorder="1" applyAlignment="1" applyProtection="1">
      <alignment horizontal="center" vertical="center" wrapText="1"/>
      <protection locked="0"/>
    </xf>
    <xf numFmtId="0" fontId="0" fillId="0" borderId="107" xfId="0" applyBorder="1" applyAlignment="1" applyProtection="1">
      <alignment horizontal="center" vertical="center" wrapText="1"/>
      <protection locked="0"/>
    </xf>
    <xf numFmtId="0" fontId="57" fillId="18" borderId="2" xfId="0" applyFont="1" applyFill="1" applyBorder="1" applyAlignment="1">
      <alignment horizontal="center" vertical="center" wrapText="1"/>
    </xf>
    <xf numFmtId="0" fontId="57" fillId="18" borderId="4" xfId="0" applyFont="1" applyFill="1" applyBorder="1" applyAlignment="1">
      <alignment horizontal="center" vertical="center" wrapText="1"/>
    </xf>
    <xf numFmtId="0" fontId="57" fillId="18" borderId="4" xfId="0" applyFont="1" applyFill="1" applyBorder="1" applyAlignment="1">
      <alignment horizontal="center" vertical="center" textRotation="90" wrapText="1"/>
    </xf>
    <xf numFmtId="0" fontId="57" fillId="18" borderId="8" xfId="0" applyFont="1" applyFill="1" applyBorder="1" applyAlignment="1">
      <alignment horizontal="center" vertical="center" textRotation="90" wrapText="1"/>
    </xf>
    <xf numFmtId="0" fontId="57" fillId="17" borderId="2" xfId="0" applyFont="1" applyFill="1" applyBorder="1" applyAlignment="1">
      <alignment horizontal="center" vertical="center" textRotation="90" wrapText="1"/>
    </xf>
    <xf numFmtId="0" fontId="57" fillId="17" borderId="4" xfId="0" applyFont="1" applyFill="1" applyBorder="1" applyAlignment="1">
      <alignment horizontal="center" vertical="center" textRotation="90" wrapText="1"/>
    </xf>
    <xf numFmtId="0" fontId="0" fillId="0" borderId="86" xfId="0" applyBorder="1" applyAlignment="1">
      <alignment horizontal="center" vertical="center" wrapText="1"/>
    </xf>
    <xf numFmtId="0" fontId="15" fillId="0" borderId="86" xfId="0" applyFont="1" applyBorder="1" applyAlignment="1" applyProtection="1">
      <alignment horizontal="center" vertical="center" wrapText="1"/>
      <protection locked="0"/>
    </xf>
    <xf numFmtId="0" fontId="57" fillId="18" borderId="8" xfId="0" applyFont="1" applyFill="1" applyBorder="1" applyAlignment="1">
      <alignment horizontal="center" vertical="center" wrapText="1"/>
    </xf>
    <xf numFmtId="0" fontId="57" fillId="18" borderId="5" xfId="0" applyFont="1" applyFill="1" applyBorder="1" applyAlignment="1">
      <alignment horizontal="center" vertical="center" wrapText="1"/>
    </xf>
    <xf numFmtId="0" fontId="57" fillId="17" borderId="8" xfId="0" applyFont="1" applyFill="1" applyBorder="1" applyAlignment="1">
      <alignment horizontal="center" vertical="center" textRotation="90" wrapText="1"/>
    </xf>
    <xf numFmtId="0" fontId="57" fillId="17" borderId="9" xfId="0" applyFont="1" applyFill="1" applyBorder="1" applyAlignment="1">
      <alignment horizontal="center" vertical="center" wrapText="1"/>
    </xf>
    <xf numFmtId="0" fontId="0" fillId="3" borderId="86" xfId="0" applyFill="1" applyBorder="1" applyAlignment="1">
      <alignment horizontal="center" vertical="center" wrapText="1"/>
    </xf>
    <xf numFmtId="0" fontId="0" fillId="3" borderId="81" xfId="0" applyFill="1" applyBorder="1" applyAlignment="1">
      <alignment horizontal="center" vertical="center" wrapText="1"/>
    </xf>
    <xf numFmtId="0" fontId="15" fillId="3" borderId="86" xfId="0" applyFont="1" applyFill="1" applyBorder="1" applyAlignment="1" applyProtection="1">
      <alignment horizontal="left" vertical="center" wrapText="1"/>
      <protection locked="0"/>
    </xf>
    <xf numFmtId="0" fontId="15" fillId="3" borderId="81" xfId="0" applyFont="1" applyFill="1" applyBorder="1" applyAlignment="1" applyProtection="1">
      <alignment horizontal="left" vertical="center" wrapText="1"/>
      <protection locked="0"/>
    </xf>
    <xf numFmtId="0" fontId="15" fillId="0" borderId="122"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0" fillId="3" borderId="73" xfId="0" applyFill="1" applyBorder="1" applyAlignment="1" applyProtection="1">
      <alignment horizontal="center" vertical="center" wrapText="1"/>
      <protection locked="0"/>
    </xf>
    <xf numFmtId="0" fontId="0" fillId="3" borderId="75" xfId="0" applyFill="1" applyBorder="1" applyAlignment="1" applyProtection="1">
      <alignment horizontal="center" vertical="center" wrapText="1"/>
      <protection locked="0"/>
    </xf>
    <xf numFmtId="0" fontId="15" fillId="0" borderId="103" xfId="0" applyFont="1" applyBorder="1" applyAlignment="1" applyProtection="1">
      <alignment horizontal="center" vertical="center" wrapText="1"/>
      <protection locked="0"/>
    </xf>
    <xf numFmtId="0" fontId="15" fillId="3" borderId="86" xfId="0" applyFont="1" applyFill="1" applyBorder="1" applyAlignment="1" applyProtection="1">
      <alignment horizontal="center" vertical="center" wrapText="1"/>
      <protection locked="0"/>
    </xf>
    <xf numFmtId="0" fontId="15" fillId="3" borderId="81" xfId="0" applyFont="1" applyFill="1" applyBorder="1" applyAlignment="1" applyProtection="1">
      <alignment horizontal="center" vertical="center" wrapText="1"/>
      <protection locked="0"/>
    </xf>
    <xf numFmtId="0" fontId="7" fillId="3" borderId="0" xfId="0" applyFont="1" applyFill="1" applyAlignment="1" applyProtection="1">
      <alignment horizontal="left" vertical="center"/>
      <protection locked="0"/>
    </xf>
    <xf numFmtId="0" fontId="1" fillId="3" borderId="0" xfId="0" applyFont="1" applyFill="1" applyAlignment="1">
      <alignment horizontal="left" vertical="center"/>
    </xf>
    <xf numFmtId="0" fontId="57" fillId="18" borderId="6" xfId="0" applyFont="1" applyFill="1" applyBorder="1" applyAlignment="1">
      <alignment horizontal="center" vertical="center" wrapText="1"/>
    </xf>
    <xf numFmtId="0" fontId="57" fillId="18" borderId="10" xfId="0" applyFont="1" applyFill="1" applyBorder="1" applyAlignment="1">
      <alignment horizontal="center" vertical="center" wrapText="1"/>
    </xf>
    <xf numFmtId="0" fontId="57" fillId="18" borderId="7" xfId="0" applyFont="1" applyFill="1" applyBorder="1" applyAlignment="1">
      <alignment horizontal="center" vertical="center" wrapText="1"/>
    </xf>
    <xf numFmtId="0" fontId="57" fillId="17" borderId="6" xfId="0" applyFont="1" applyFill="1" applyBorder="1" applyAlignment="1">
      <alignment horizontal="center" vertical="center" wrapText="1"/>
    </xf>
    <xf numFmtId="0" fontId="57" fillId="17" borderId="10" xfId="0" applyFont="1" applyFill="1" applyBorder="1" applyAlignment="1">
      <alignment horizontal="center" vertical="center" wrapText="1"/>
    </xf>
    <xf numFmtId="0" fontId="57" fillId="17" borderId="7" xfId="0" applyFont="1" applyFill="1" applyBorder="1" applyAlignment="1">
      <alignment horizontal="center" vertical="center" wrapText="1"/>
    </xf>
    <xf numFmtId="0" fontId="57" fillId="17" borderId="5" xfId="0" applyFont="1" applyFill="1" applyBorder="1" applyAlignment="1">
      <alignment horizontal="center" vertical="center" wrapText="1"/>
    </xf>
    <xf numFmtId="0" fontId="57" fillId="17" borderId="4" xfId="0" applyFont="1" applyFill="1" applyBorder="1" applyAlignment="1">
      <alignment horizontal="center" vertical="center" wrapText="1"/>
    </xf>
    <xf numFmtId="0" fontId="57" fillId="17" borderId="8" xfId="0" applyFont="1" applyFill="1" applyBorder="1" applyAlignment="1">
      <alignment horizontal="center" vertical="center" wrapText="1"/>
    </xf>
    <xf numFmtId="0" fontId="60" fillId="16" borderId="9" xfId="0" applyFont="1" applyFill="1" applyBorder="1" applyAlignment="1">
      <alignment horizontal="center" vertical="center"/>
    </xf>
    <xf numFmtId="0" fontId="60" fillId="16" borderId="0" xfId="0" applyFont="1" applyFill="1" applyAlignment="1">
      <alignment horizontal="center" vertical="center"/>
    </xf>
    <xf numFmtId="0" fontId="25" fillId="0" borderId="0" xfId="0" applyFont="1" applyAlignment="1">
      <alignment horizontal="center" vertical="center" wrapText="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0" xfId="0" applyFont="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2" fillId="0" borderId="19" xfId="0" applyFont="1" applyBorder="1" applyAlignment="1">
      <alignment horizontal="center" vertical="center" wrapText="1"/>
    </xf>
    <xf numFmtId="0" fontId="41" fillId="11" borderId="20" xfId="0" applyFont="1" applyFill="1" applyBorder="1" applyAlignment="1">
      <alignment horizontal="center" vertical="center" wrapText="1" readingOrder="1"/>
    </xf>
    <xf numFmtId="0" fontId="41" fillId="11" borderId="21" xfId="0" applyFont="1" applyFill="1" applyBorder="1" applyAlignment="1">
      <alignment horizontal="center" vertical="center" wrapText="1" readingOrder="1"/>
    </xf>
    <xf numFmtId="0" fontId="41" fillId="11" borderId="22" xfId="0" applyFont="1" applyFill="1" applyBorder="1" applyAlignment="1">
      <alignment horizontal="center" vertical="center" wrapText="1" readingOrder="1"/>
    </xf>
    <xf numFmtId="0" fontId="41" fillId="11" borderId="23"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24" xfId="0" applyFont="1" applyFill="1" applyBorder="1" applyAlignment="1">
      <alignment horizontal="center" vertical="center" wrapText="1" readingOrder="1"/>
    </xf>
    <xf numFmtId="0" fontId="41" fillId="11" borderId="25" xfId="0" applyFont="1" applyFill="1" applyBorder="1" applyAlignment="1">
      <alignment horizontal="center" vertical="center" wrapText="1" readingOrder="1"/>
    </xf>
    <xf numFmtId="0" fontId="41" fillId="11" borderId="26" xfId="0" applyFont="1" applyFill="1" applyBorder="1" applyAlignment="1">
      <alignment horizontal="center" vertical="center" wrapText="1" readingOrder="1"/>
    </xf>
    <xf numFmtId="0" fontId="41" fillId="11" borderId="27" xfId="0" applyFont="1" applyFill="1" applyBorder="1" applyAlignment="1">
      <alignment horizontal="center" vertical="center" wrapText="1" readingOrder="1"/>
    </xf>
    <xf numFmtId="0" fontId="42" fillId="0" borderId="14" xfId="0" applyFont="1" applyBorder="1" applyAlignment="1">
      <alignment horizontal="center" vertical="center" wrapText="1"/>
    </xf>
    <xf numFmtId="0" fontId="41" fillId="12" borderId="20" xfId="0" applyFont="1" applyFill="1" applyBorder="1" applyAlignment="1">
      <alignment horizontal="center" vertical="center" wrapText="1" readingOrder="1"/>
    </xf>
    <xf numFmtId="0" fontId="41" fillId="12" borderId="21" xfId="0" applyFont="1" applyFill="1" applyBorder="1" applyAlignment="1">
      <alignment horizontal="center" vertical="center" wrapText="1" readingOrder="1"/>
    </xf>
    <xf numFmtId="0" fontId="41" fillId="12" borderId="22" xfId="0" applyFont="1" applyFill="1" applyBorder="1" applyAlignment="1">
      <alignment horizontal="center" vertical="center" wrapText="1" readingOrder="1"/>
    </xf>
    <xf numFmtId="0" fontId="41" fillId="12" borderId="23"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24" xfId="0" applyFont="1" applyFill="1" applyBorder="1" applyAlignment="1">
      <alignment horizontal="center" vertical="center" wrapText="1" readingOrder="1"/>
    </xf>
    <xf numFmtId="0" fontId="41" fillId="12" borderId="25" xfId="0" applyFont="1" applyFill="1" applyBorder="1" applyAlignment="1">
      <alignment horizontal="center" vertical="center" wrapText="1" readingOrder="1"/>
    </xf>
    <xf numFmtId="0" fontId="41" fillId="12" borderId="26" xfId="0" applyFont="1" applyFill="1" applyBorder="1" applyAlignment="1">
      <alignment horizontal="center" vertical="center" wrapText="1" readingOrder="1"/>
    </xf>
    <xf numFmtId="0" fontId="41" fillId="12" borderId="27"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5" borderId="20" xfId="0" applyFont="1" applyFill="1" applyBorder="1" applyAlignment="1">
      <alignment horizontal="center" vertical="center" wrapText="1" readingOrder="1"/>
    </xf>
    <xf numFmtId="0" fontId="41" fillId="5" borderId="21" xfId="0" applyFont="1" applyFill="1" applyBorder="1" applyAlignment="1">
      <alignment horizontal="center" vertical="center" wrapText="1" readingOrder="1"/>
    </xf>
    <xf numFmtId="0" fontId="41" fillId="5" borderId="22" xfId="0" applyFont="1" applyFill="1" applyBorder="1" applyAlignment="1">
      <alignment horizontal="center" vertical="center" wrapText="1" readingOrder="1"/>
    </xf>
    <xf numFmtId="0" fontId="41" fillId="5" borderId="23"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24" xfId="0" applyFont="1" applyFill="1" applyBorder="1" applyAlignment="1">
      <alignment horizontal="center" vertical="center" wrapText="1" readingOrder="1"/>
    </xf>
    <xf numFmtId="0" fontId="41" fillId="5" borderId="25" xfId="0" applyFont="1" applyFill="1" applyBorder="1" applyAlignment="1">
      <alignment horizontal="center" vertical="center" wrapText="1" readingOrder="1"/>
    </xf>
    <xf numFmtId="0" fontId="41" fillId="5" borderId="26" xfId="0" applyFont="1" applyFill="1" applyBorder="1" applyAlignment="1">
      <alignment horizontal="center" vertical="center" wrapText="1" readingOrder="1"/>
    </xf>
    <xf numFmtId="0" fontId="41" fillId="5" borderId="27"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1" fillId="13" borderId="21" xfId="0" applyFont="1" applyFill="1" applyBorder="1" applyAlignment="1">
      <alignment horizontal="center" vertical="center" wrapText="1" readingOrder="1"/>
    </xf>
    <xf numFmtId="0" fontId="41" fillId="13" borderId="22" xfId="0" applyFont="1" applyFill="1" applyBorder="1" applyAlignment="1">
      <alignment horizontal="center" vertical="center" wrapText="1" readingOrder="1"/>
    </xf>
    <xf numFmtId="0" fontId="41" fillId="13" borderId="23"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24" xfId="0" applyFont="1" applyFill="1" applyBorder="1" applyAlignment="1">
      <alignment horizontal="center" vertical="center" wrapText="1" readingOrder="1"/>
    </xf>
    <xf numFmtId="0" fontId="41" fillId="13" borderId="25" xfId="0" applyFont="1" applyFill="1" applyBorder="1" applyAlignment="1">
      <alignment horizontal="center" vertical="center" wrapText="1" readingOrder="1"/>
    </xf>
    <xf numFmtId="0" fontId="41" fillId="13" borderId="26" xfId="0" applyFont="1" applyFill="1" applyBorder="1" applyAlignment="1">
      <alignment horizontal="center" vertical="center" wrapText="1" readingOrder="1"/>
    </xf>
    <xf numFmtId="0" fontId="41" fillId="13" borderId="27"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31" xfId="0" applyFont="1" applyFill="1" applyBorder="1" applyAlignment="1">
      <alignment horizontal="center" vertical="center" wrapText="1" readingOrder="1"/>
    </xf>
    <xf numFmtId="0" fontId="39" fillId="15" borderId="32" xfId="0" applyFont="1" applyFill="1" applyBorder="1" applyAlignment="1">
      <alignment horizontal="center" vertical="center" wrapText="1" readingOrder="1"/>
    </xf>
    <xf numFmtId="0" fontId="39" fillId="15" borderId="43"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40" xfId="0" applyFont="1" applyFill="1" applyBorder="1" applyAlignment="1">
      <alignment horizontal="center" vertical="center" wrapText="1" readingOrder="1"/>
    </xf>
    <xf numFmtId="0" fontId="36" fillId="15" borderId="41" xfId="0" applyFont="1" applyFill="1" applyBorder="1" applyAlignment="1">
      <alignment horizontal="center" vertical="center" wrapText="1" readingOrder="1"/>
    </xf>
    <xf numFmtId="0" fontId="36" fillId="3" borderId="38" xfId="0" applyFont="1" applyFill="1" applyBorder="1" applyAlignment="1">
      <alignment horizontal="center" vertical="center" wrapText="1" readingOrder="1"/>
    </xf>
    <xf numFmtId="0" fontId="36" fillId="3"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9" xfId="0" applyFont="1" applyFill="1" applyBorder="1" applyAlignment="1">
      <alignment horizontal="center" vertical="center" wrapText="1" readingOrder="1"/>
    </xf>
    <xf numFmtId="0" fontId="36" fillId="3" borderId="35" xfId="0" applyFont="1" applyFill="1" applyBorder="1" applyAlignment="1">
      <alignment horizontal="center" vertical="center" wrapText="1" readingOrder="1"/>
    </xf>
    <xf numFmtId="0" fontId="36" fillId="3" borderId="36"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6">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41</xdr:col>
      <xdr:colOff>612323</xdr:colOff>
      <xdr:row>0</xdr:row>
      <xdr:rowOff>163286</xdr:rowOff>
    </xdr:from>
    <xdr:to>
      <xdr:col>42</xdr:col>
      <xdr:colOff>1428751</xdr:colOff>
      <xdr:row>5</xdr:row>
      <xdr:rowOff>66675</xdr:rowOff>
    </xdr:to>
    <xdr:pic>
      <xdr:nvPicPr>
        <xdr:cNvPr id="2" name="image11.png">
          <a:extLst>
            <a:ext uri="{FF2B5EF4-FFF2-40B4-BE49-F238E27FC236}">
              <a16:creationId xmlns:a16="http://schemas.microsoft.com/office/drawing/2014/main" id="{C2BF5A82-EE27-4073-A9A9-1F33CB7F10DE}"/>
            </a:ext>
          </a:extLst>
        </xdr:cNvPr>
        <xdr:cNvPicPr/>
      </xdr:nvPicPr>
      <xdr:blipFill>
        <a:blip xmlns:r="http://schemas.openxmlformats.org/officeDocument/2006/relationships" r:embed="rId1"/>
        <a:srcRect/>
        <a:stretch>
          <a:fillRect/>
        </a:stretch>
      </xdr:blipFill>
      <xdr:spPr>
        <a:xfrm>
          <a:off x="31269216" y="163286"/>
          <a:ext cx="1986642" cy="1064380"/>
        </a:xfrm>
        <a:prstGeom prst="rect">
          <a:avLst/>
        </a:prstGeom>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5" dataDxfId="104">
  <autoFilter ref="B209:C219" xr:uid="{00000000-0009-0000-0100-000001000000}"/>
  <tableColumns count="2">
    <tableColumn id="1" xr3:uid="{00000000-0010-0000-0000-000001000000}" name="Criterios" dataDxfId="103"/>
    <tableColumn id="2" xr3:uid="{00000000-0010-0000-0000-000002000000}" name="Subcriterios" dataDxfId="10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23EDE-D7E9-449D-B3FD-6D790B588790}">
  <dimension ref="A3:J213"/>
  <sheetViews>
    <sheetView zoomScaleNormal="100" workbookViewId="0">
      <selection activeCell="A3" sqref="A3:E3"/>
    </sheetView>
  </sheetViews>
  <sheetFormatPr baseColWidth="10" defaultColWidth="11.42578125" defaultRowHeight="15" x14ac:dyDescent="0.25"/>
  <cols>
    <col min="1" max="1" width="57.28515625" customWidth="1"/>
    <col min="2" max="2" width="52.42578125" customWidth="1"/>
    <col min="3" max="3" width="17.28515625" style="375" bestFit="1" customWidth="1"/>
    <col min="4" max="4" width="83.42578125" style="357" customWidth="1"/>
    <col min="5" max="5" width="58.42578125" style="357" bestFit="1" customWidth="1"/>
    <col min="6" max="6" width="40.42578125" customWidth="1"/>
    <col min="7" max="7" width="27" bestFit="1" customWidth="1"/>
    <col min="8" max="8" width="50.7109375" bestFit="1" customWidth="1"/>
    <col min="9" max="10" width="36.140625" customWidth="1"/>
  </cols>
  <sheetData>
    <row r="3" spans="1:5" x14ac:dyDescent="0.25">
      <c r="A3" s="528" t="s">
        <v>0</v>
      </c>
      <c r="B3" s="529"/>
      <c r="C3" s="529"/>
      <c r="D3" s="529"/>
      <c r="E3" s="530"/>
    </row>
    <row r="4" spans="1:5" x14ac:dyDescent="0.25">
      <c r="A4" s="358" t="s">
        <v>1</v>
      </c>
      <c r="B4" s="358" t="s">
        <v>2</v>
      </c>
      <c r="C4" s="358" t="s">
        <v>3</v>
      </c>
      <c r="D4" s="359" t="s">
        <v>4</v>
      </c>
      <c r="E4" s="359" t="s">
        <v>5</v>
      </c>
    </row>
    <row r="5" spans="1:5" ht="45" x14ac:dyDescent="0.25">
      <c r="A5" s="360" t="s">
        <v>6</v>
      </c>
      <c r="B5" s="360" t="s">
        <v>7</v>
      </c>
      <c r="C5" s="531" t="s">
        <v>8</v>
      </c>
      <c r="D5" s="361" t="s">
        <v>9</v>
      </c>
      <c r="E5" s="361" t="s">
        <v>10</v>
      </c>
    </row>
    <row r="6" spans="1:5" ht="99.75" x14ac:dyDescent="0.25">
      <c r="A6" s="362" t="s">
        <v>11</v>
      </c>
      <c r="B6" s="363" t="s">
        <v>12</v>
      </c>
      <c r="C6" s="532"/>
      <c r="D6" s="361" t="s">
        <v>13</v>
      </c>
      <c r="E6" s="361" t="s">
        <v>10</v>
      </c>
    </row>
    <row r="7" spans="1:5" ht="42.75" x14ac:dyDescent="0.25">
      <c r="A7" s="362" t="s">
        <v>14</v>
      </c>
      <c r="B7" s="363" t="s">
        <v>15</v>
      </c>
      <c r="C7" s="532"/>
      <c r="D7" s="361" t="s">
        <v>16</v>
      </c>
      <c r="E7" s="361" t="s">
        <v>10</v>
      </c>
    </row>
    <row r="8" spans="1:5" ht="42.75" x14ac:dyDescent="0.25">
      <c r="A8" s="364" t="s">
        <v>17</v>
      </c>
      <c r="B8" s="363" t="s">
        <v>18</v>
      </c>
      <c r="C8" s="532"/>
      <c r="D8" s="361" t="s">
        <v>19</v>
      </c>
      <c r="E8" s="361" t="s">
        <v>20</v>
      </c>
    </row>
    <row r="9" spans="1:5" ht="42.75" x14ac:dyDescent="0.25">
      <c r="A9" s="364" t="s">
        <v>17</v>
      </c>
      <c r="B9" s="363" t="s">
        <v>18</v>
      </c>
      <c r="C9" s="532"/>
      <c r="D9" s="361" t="s">
        <v>21</v>
      </c>
      <c r="E9" s="361" t="s">
        <v>22</v>
      </c>
    </row>
    <row r="10" spans="1:5" ht="42.75" x14ac:dyDescent="0.25">
      <c r="A10" s="364" t="s">
        <v>17</v>
      </c>
      <c r="B10" s="363" t="s">
        <v>18</v>
      </c>
      <c r="C10" s="532"/>
      <c r="D10" s="361" t="s">
        <v>23</v>
      </c>
      <c r="E10" s="361" t="s">
        <v>10</v>
      </c>
    </row>
    <row r="11" spans="1:5" ht="75" x14ac:dyDescent="0.25">
      <c r="A11" s="362" t="s">
        <v>24</v>
      </c>
      <c r="B11" s="365" t="s">
        <v>25</v>
      </c>
      <c r="C11" s="532"/>
      <c r="D11" s="361" t="s">
        <v>26</v>
      </c>
      <c r="E11" s="361" t="s">
        <v>27</v>
      </c>
    </row>
    <row r="12" spans="1:5" ht="75" x14ac:dyDescent="0.25">
      <c r="A12" s="362" t="s">
        <v>24</v>
      </c>
      <c r="B12" s="365" t="s">
        <v>25</v>
      </c>
      <c r="C12" s="532"/>
      <c r="D12" s="361" t="s">
        <v>28</v>
      </c>
      <c r="E12" s="361" t="s">
        <v>27</v>
      </c>
    </row>
    <row r="13" spans="1:5" ht="75" x14ac:dyDescent="0.25">
      <c r="A13" s="362" t="s">
        <v>24</v>
      </c>
      <c r="B13" s="365" t="s">
        <v>25</v>
      </c>
      <c r="C13" s="533"/>
      <c r="D13" s="361" t="s">
        <v>29</v>
      </c>
      <c r="E13" s="361" t="s">
        <v>27</v>
      </c>
    </row>
    <row r="14" spans="1:5" ht="75" x14ac:dyDescent="0.25">
      <c r="A14" s="362" t="s">
        <v>30</v>
      </c>
      <c r="B14" s="360" t="s">
        <v>31</v>
      </c>
      <c r="C14" s="534" t="s">
        <v>32</v>
      </c>
      <c r="D14" s="366" t="s">
        <v>33</v>
      </c>
      <c r="E14" s="366" t="s">
        <v>34</v>
      </c>
    </row>
    <row r="15" spans="1:5" ht="60" x14ac:dyDescent="0.25">
      <c r="A15" s="362" t="s">
        <v>35</v>
      </c>
      <c r="B15" s="367" t="s">
        <v>36</v>
      </c>
      <c r="C15" s="535"/>
      <c r="D15" s="366" t="s">
        <v>37</v>
      </c>
      <c r="E15" s="366" t="s">
        <v>38</v>
      </c>
    </row>
    <row r="16" spans="1:5" ht="75" x14ac:dyDescent="0.25">
      <c r="A16" s="362" t="s">
        <v>39</v>
      </c>
      <c r="B16" s="360" t="s">
        <v>40</v>
      </c>
      <c r="C16" s="535"/>
      <c r="D16" s="366" t="s">
        <v>41</v>
      </c>
      <c r="E16" s="366" t="s">
        <v>42</v>
      </c>
    </row>
    <row r="17" spans="1:5" ht="75" x14ac:dyDescent="0.25">
      <c r="A17" s="362" t="s">
        <v>39</v>
      </c>
      <c r="B17" s="360" t="s">
        <v>40</v>
      </c>
      <c r="C17" s="535"/>
      <c r="D17" s="366" t="s">
        <v>43</v>
      </c>
      <c r="E17" s="366" t="s">
        <v>44</v>
      </c>
    </row>
    <row r="18" spans="1:5" ht="75" x14ac:dyDescent="0.25">
      <c r="A18" s="362" t="s">
        <v>30</v>
      </c>
      <c r="B18" s="360" t="s">
        <v>31</v>
      </c>
      <c r="C18" s="535"/>
      <c r="D18" s="366" t="s">
        <v>45</v>
      </c>
      <c r="E18" s="366" t="s">
        <v>46</v>
      </c>
    </row>
    <row r="19" spans="1:5" ht="75" x14ac:dyDescent="0.25">
      <c r="A19" s="362" t="s">
        <v>39</v>
      </c>
      <c r="B19" s="360" t="s">
        <v>40</v>
      </c>
      <c r="C19" s="535"/>
      <c r="D19" s="366" t="s">
        <v>47</v>
      </c>
      <c r="E19" s="366" t="s">
        <v>48</v>
      </c>
    </row>
    <row r="20" spans="1:5" ht="71.25" x14ac:dyDescent="0.25">
      <c r="A20" s="362" t="s">
        <v>39</v>
      </c>
      <c r="B20" s="363" t="s">
        <v>40</v>
      </c>
      <c r="C20" s="535"/>
      <c r="D20" s="366" t="s">
        <v>49</v>
      </c>
      <c r="E20" s="366" t="s">
        <v>50</v>
      </c>
    </row>
    <row r="21" spans="1:5" ht="57" x14ac:dyDescent="0.25">
      <c r="A21" s="362" t="s">
        <v>35</v>
      </c>
      <c r="B21" s="363" t="s">
        <v>36</v>
      </c>
      <c r="C21" s="535"/>
      <c r="D21" s="366" t="s">
        <v>51</v>
      </c>
      <c r="E21" s="366" t="s">
        <v>52</v>
      </c>
    </row>
    <row r="22" spans="1:5" ht="57" x14ac:dyDescent="0.25">
      <c r="A22" s="362" t="s">
        <v>35</v>
      </c>
      <c r="B22" s="363" t="s">
        <v>36</v>
      </c>
      <c r="C22" s="535"/>
      <c r="D22" s="366" t="s">
        <v>53</v>
      </c>
      <c r="E22" s="366" t="s">
        <v>52</v>
      </c>
    </row>
    <row r="23" spans="1:5" ht="75" x14ac:dyDescent="0.25">
      <c r="A23" s="362" t="s">
        <v>24</v>
      </c>
      <c r="B23" s="365" t="s">
        <v>25</v>
      </c>
      <c r="C23" s="535"/>
      <c r="D23" s="366" t="s">
        <v>54</v>
      </c>
      <c r="E23" s="366" t="s">
        <v>52</v>
      </c>
    </row>
    <row r="24" spans="1:5" ht="42.75" x14ac:dyDescent="0.25">
      <c r="A24" s="364" t="s">
        <v>17</v>
      </c>
      <c r="B24" s="363" t="s">
        <v>18</v>
      </c>
      <c r="C24" s="535"/>
      <c r="D24" s="366" t="s">
        <v>55</v>
      </c>
      <c r="E24" s="366" t="s">
        <v>56</v>
      </c>
    </row>
    <row r="25" spans="1:5" ht="75" x14ac:dyDescent="0.25">
      <c r="A25" s="362" t="s">
        <v>24</v>
      </c>
      <c r="B25" s="365" t="s">
        <v>25</v>
      </c>
      <c r="C25" s="535"/>
      <c r="D25" s="366" t="s">
        <v>57</v>
      </c>
      <c r="E25" s="366" t="s">
        <v>58</v>
      </c>
    </row>
    <row r="26" spans="1:5" ht="75" x14ac:dyDescent="0.25">
      <c r="A26" s="362" t="s">
        <v>24</v>
      </c>
      <c r="B26" s="365" t="s">
        <v>25</v>
      </c>
      <c r="C26" s="535"/>
      <c r="D26" s="366" t="s">
        <v>59</v>
      </c>
      <c r="E26" s="366" t="s">
        <v>58</v>
      </c>
    </row>
    <row r="27" spans="1:5" ht="75" x14ac:dyDescent="0.25">
      <c r="A27" s="362" t="s">
        <v>30</v>
      </c>
      <c r="B27" s="360" t="s">
        <v>31</v>
      </c>
      <c r="C27" s="535"/>
      <c r="D27" s="366" t="s">
        <v>60</v>
      </c>
      <c r="E27" s="366" t="s">
        <v>61</v>
      </c>
    </row>
    <row r="28" spans="1:5" ht="75" x14ac:dyDescent="0.25">
      <c r="A28" s="362" t="s">
        <v>30</v>
      </c>
      <c r="B28" s="360" t="s">
        <v>31</v>
      </c>
      <c r="C28" s="535"/>
      <c r="D28" s="366" t="s">
        <v>62</v>
      </c>
      <c r="E28" s="366" t="s">
        <v>61</v>
      </c>
    </row>
    <row r="29" spans="1:5" ht="45" x14ac:dyDescent="0.25">
      <c r="A29" s="362" t="s">
        <v>63</v>
      </c>
      <c r="B29" s="360" t="s">
        <v>64</v>
      </c>
      <c r="C29" s="535"/>
      <c r="D29" s="366" t="s">
        <v>65</v>
      </c>
      <c r="E29" s="366" t="s">
        <v>66</v>
      </c>
    </row>
    <row r="30" spans="1:5" ht="75" x14ac:dyDescent="0.25">
      <c r="A30" s="362" t="s">
        <v>24</v>
      </c>
      <c r="B30" s="365" t="s">
        <v>25</v>
      </c>
      <c r="C30" s="535"/>
      <c r="D30" s="366" t="s">
        <v>67</v>
      </c>
      <c r="E30" s="366" t="s">
        <v>68</v>
      </c>
    </row>
    <row r="31" spans="1:5" ht="75" x14ac:dyDescent="0.25">
      <c r="A31" s="362" t="s">
        <v>24</v>
      </c>
      <c r="B31" s="365" t="s">
        <v>25</v>
      </c>
      <c r="C31" s="535"/>
      <c r="D31" s="366" t="s">
        <v>69</v>
      </c>
      <c r="E31" s="366" t="s">
        <v>68</v>
      </c>
    </row>
    <row r="32" spans="1:5" ht="75" x14ac:dyDescent="0.25">
      <c r="A32" s="362" t="s">
        <v>30</v>
      </c>
      <c r="B32" s="360" t="s">
        <v>31</v>
      </c>
      <c r="C32" s="535"/>
      <c r="D32" s="366" t="s">
        <v>70</v>
      </c>
      <c r="E32" s="366" t="s">
        <v>71</v>
      </c>
    </row>
    <row r="33" spans="1:5" ht="75" x14ac:dyDescent="0.25">
      <c r="A33" s="362" t="s">
        <v>24</v>
      </c>
      <c r="B33" s="365" t="s">
        <v>25</v>
      </c>
      <c r="C33" s="536"/>
      <c r="D33" s="366" t="s">
        <v>72</v>
      </c>
      <c r="E33" s="366" t="s">
        <v>73</v>
      </c>
    </row>
    <row r="34" spans="1:5" ht="90" x14ac:dyDescent="0.25">
      <c r="A34" s="362" t="s">
        <v>74</v>
      </c>
      <c r="B34" s="360" t="s">
        <v>75</v>
      </c>
      <c r="C34" s="537" t="s">
        <v>76</v>
      </c>
      <c r="D34" s="368" t="s">
        <v>77</v>
      </c>
      <c r="E34" s="368" t="s">
        <v>78</v>
      </c>
    </row>
    <row r="35" spans="1:5" ht="90" x14ac:dyDescent="0.25">
      <c r="A35" s="362" t="s">
        <v>74</v>
      </c>
      <c r="B35" s="360" t="s">
        <v>75</v>
      </c>
      <c r="C35" s="538"/>
      <c r="D35" s="368" t="s">
        <v>79</v>
      </c>
      <c r="E35" s="368" t="s">
        <v>78</v>
      </c>
    </row>
    <row r="36" spans="1:5" ht="75" x14ac:dyDescent="0.25">
      <c r="A36" s="362" t="s">
        <v>24</v>
      </c>
      <c r="B36" s="365" t="s">
        <v>25</v>
      </c>
      <c r="C36" s="538"/>
      <c r="D36" s="368" t="s">
        <v>80</v>
      </c>
      <c r="E36" s="368" t="s">
        <v>78</v>
      </c>
    </row>
    <row r="37" spans="1:5" ht="60" x14ac:dyDescent="0.25">
      <c r="A37" s="362" t="s">
        <v>35</v>
      </c>
      <c r="B37" s="367" t="s">
        <v>36</v>
      </c>
      <c r="C37" s="538"/>
      <c r="D37" s="368" t="s">
        <v>81</v>
      </c>
      <c r="E37" s="368" t="s">
        <v>78</v>
      </c>
    </row>
    <row r="38" spans="1:5" ht="42.75" x14ac:dyDescent="0.25">
      <c r="A38" s="362" t="s">
        <v>14</v>
      </c>
      <c r="B38" s="363" t="s">
        <v>15</v>
      </c>
      <c r="C38" s="538"/>
      <c r="D38" s="368" t="s">
        <v>82</v>
      </c>
      <c r="E38" s="368" t="s">
        <v>78</v>
      </c>
    </row>
    <row r="39" spans="1:5" ht="45" x14ac:dyDescent="0.25">
      <c r="A39" s="362" t="s">
        <v>63</v>
      </c>
      <c r="B39" s="367" t="s">
        <v>64</v>
      </c>
      <c r="C39" s="538"/>
      <c r="D39" s="368" t="s">
        <v>83</v>
      </c>
      <c r="E39" s="368" t="s">
        <v>78</v>
      </c>
    </row>
    <row r="40" spans="1:5" ht="99.75" x14ac:dyDescent="0.25">
      <c r="A40" s="362" t="s">
        <v>11</v>
      </c>
      <c r="B40" s="363" t="s">
        <v>12</v>
      </c>
      <c r="C40" s="538"/>
      <c r="D40" s="368" t="s">
        <v>84</v>
      </c>
      <c r="E40" s="368" t="s">
        <v>85</v>
      </c>
    </row>
    <row r="41" spans="1:5" ht="99.75" x14ac:dyDescent="0.25">
      <c r="A41" s="362" t="s">
        <v>11</v>
      </c>
      <c r="B41" s="363" t="s">
        <v>12</v>
      </c>
      <c r="C41" s="538"/>
      <c r="D41" s="368" t="s">
        <v>86</v>
      </c>
      <c r="E41" s="368" t="s">
        <v>85</v>
      </c>
    </row>
    <row r="42" spans="1:5" ht="99.75" x14ac:dyDescent="0.25">
      <c r="A42" s="362" t="s">
        <v>11</v>
      </c>
      <c r="B42" s="363" t="s">
        <v>12</v>
      </c>
      <c r="C42" s="538"/>
      <c r="D42" s="368" t="s">
        <v>87</v>
      </c>
      <c r="E42" s="368" t="s">
        <v>46</v>
      </c>
    </row>
    <row r="43" spans="1:5" ht="99.75" x14ac:dyDescent="0.25">
      <c r="A43" s="362" t="s">
        <v>11</v>
      </c>
      <c r="B43" s="363" t="s">
        <v>12</v>
      </c>
      <c r="C43" s="538"/>
      <c r="D43" s="368" t="s">
        <v>88</v>
      </c>
      <c r="E43" s="368" t="s">
        <v>46</v>
      </c>
    </row>
    <row r="44" spans="1:5" ht="99.75" x14ac:dyDescent="0.25">
      <c r="A44" s="362" t="s">
        <v>11</v>
      </c>
      <c r="B44" s="363" t="s">
        <v>12</v>
      </c>
      <c r="C44" s="538"/>
      <c r="D44" s="368" t="s">
        <v>89</v>
      </c>
      <c r="E44" s="368" t="s">
        <v>46</v>
      </c>
    </row>
    <row r="45" spans="1:5" ht="99.75" x14ac:dyDescent="0.25">
      <c r="A45" s="362" t="s">
        <v>11</v>
      </c>
      <c r="B45" s="363" t="s">
        <v>12</v>
      </c>
      <c r="C45" s="538"/>
      <c r="D45" s="368" t="s">
        <v>90</v>
      </c>
      <c r="E45" s="368" t="s">
        <v>46</v>
      </c>
    </row>
    <row r="46" spans="1:5" ht="75" x14ac:dyDescent="0.25">
      <c r="A46" s="362" t="s">
        <v>24</v>
      </c>
      <c r="B46" s="365" t="s">
        <v>25</v>
      </c>
      <c r="C46" s="538"/>
      <c r="D46" s="368" t="s">
        <v>91</v>
      </c>
      <c r="E46" s="368" t="s">
        <v>66</v>
      </c>
    </row>
    <row r="47" spans="1:5" ht="45" x14ac:dyDescent="0.25">
      <c r="A47" s="362" t="s">
        <v>63</v>
      </c>
      <c r="B47" s="367" t="s">
        <v>64</v>
      </c>
      <c r="C47" s="538"/>
      <c r="D47" s="368" t="s">
        <v>92</v>
      </c>
      <c r="E47" s="368" t="s">
        <v>66</v>
      </c>
    </row>
    <row r="48" spans="1:5" ht="45" x14ac:dyDescent="0.25">
      <c r="A48" s="362" t="s">
        <v>63</v>
      </c>
      <c r="B48" s="367" t="s">
        <v>64</v>
      </c>
      <c r="C48" s="538"/>
      <c r="D48" s="368" t="s">
        <v>93</v>
      </c>
      <c r="E48" s="368" t="s">
        <v>66</v>
      </c>
    </row>
    <row r="49" spans="1:10" ht="30" x14ac:dyDescent="0.25">
      <c r="A49" s="362" t="s">
        <v>94</v>
      </c>
      <c r="B49" s="367" t="s">
        <v>95</v>
      </c>
      <c r="C49" s="538"/>
      <c r="D49" s="368" t="s">
        <v>96</v>
      </c>
      <c r="E49" s="368" t="s">
        <v>97</v>
      </c>
    </row>
    <row r="50" spans="1:10" ht="99.75" x14ac:dyDescent="0.25">
      <c r="A50" s="362" t="s">
        <v>11</v>
      </c>
      <c r="B50" s="363" t="s">
        <v>12</v>
      </c>
      <c r="C50" s="538"/>
      <c r="D50" s="368" t="s">
        <v>98</v>
      </c>
      <c r="E50" s="368" t="s">
        <v>99</v>
      </c>
    </row>
    <row r="51" spans="1:10" ht="99.75" x14ac:dyDescent="0.25">
      <c r="A51" s="362" t="s">
        <v>11</v>
      </c>
      <c r="B51" s="363" t="s">
        <v>12</v>
      </c>
      <c r="C51" s="538"/>
      <c r="D51" s="368" t="s">
        <v>100</v>
      </c>
      <c r="E51" s="368" t="s">
        <v>99</v>
      </c>
    </row>
    <row r="52" spans="1:10" ht="75" x14ac:dyDescent="0.25">
      <c r="A52" s="362" t="s">
        <v>30</v>
      </c>
      <c r="B52" s="360" t="s">
        <v>31</v>
      </c>
      <c r="C52" s="538"/>
      <c r="D52" s="368" t="s">
        <v>101</v>
      </c>
      <c r="E52" s="368" t="s">
        <v>99</v>
      </c>
    </row>
    <row r="53" spans="1:10" ht="45" x14ac:dyDescent="0.25">
      <c r="A53" s="362" t="s">
        <v>63</v>
      </c>
      <c r="B53" s="367" t="s">
        <v>64</v>
      </c>
      <c r="C53" s="538"/>
      <c r="D53" s="368" t="s">
        <v>102</v>
      </c>
      <c r="E53" s="368" t="s">
        <v>103</v>
      </c>
    </row>
    <row r="54" spans="1:10" ht="75" x14ac:dyDescent="0.25">
      <c r="A54" s="362" t="s">
        <v>30</v>
      </c>
      <c r="B54" s="360" t="s">
        <v>31</v>
      </c>
      <c r="C54" s="538"/>
      <c r="D54" s="368" t="s">
        <v>104</v>
      </c>
      <c r="E54" s="368" t="s">
        <v>103</v>
      </c>
    </row>
    <row r="55" spans="1:10" ht="75" x14ac:dyDescent="0.25">
      <c r="A55" s="362" t="s">
        <v>105</v>
      </c>
      <c r="B55" s="365" t="s">
        <v>25</v>
      </c>
      <c r="C55" s="538"/>
      <c r="D55" s="368" t="s">
        <v>106</v>
      </c>
      <c r="E55" s="368" t="s">
        <v>52</v>
      </c>
    </row>
    <row r="56" spans="1:10" ht="99.75" x14ac:dyDescent="0.25">
      <c r="A56" s="362" t="s">
        <v>11</v>
      </c>
      <c r="B56" s="363" t="s">
        <v>12</v>
      </c>
      <c r="C56" s="539"/>
      <c r="D56" s="368" t="s">
        <v>107</v>
      </c>
      <c r="E56" s="368" t="s">
        <v>73</v>
      </c>
    </row>
    <row r="57" spans="1:10" ht="75" x14ac:dyDescent="0.25">
      <c r="A57" s="362" t="s">
        <v>30</v>
      </c>
      <c r="B57" s="360" t="s">
        <v>31</v>
      </c>
      <c r="C57" s="540" t="s">
        <v>108</v>
      </c>
      <c r="D57" s="369" t="s">
        <v>109</v>
      </c>
      <c r="E57" s="369" t="s">
        <v>110</v>
      </c>
    </row>
    <row r="58" spans="1:10" ht="30" x14ac:dyDescent="0.25">
      <c r="A58" s="362" t="s">
        <v>94</v>
      </c>
      <c r="B58" s="360" t="s">
        <v>95</v>
      </c>
      <c r="C58" s="541"/>
      <c r="D58" s="369" t="s">
        <v>111</v>
      </c>
      <c r="E58" s="369" t="s">
        <v>112</v>
      </c>
    </row>
    <row r="59" spans="1:10" ht="60" x14ac:dyDescent="0.25">
      <c r="A59" s="362" t="s">
        <v>113</v>
      </c>
      <c r="B59" s="360" t="s">
        <v>114</v>
      </c>
      <c r="C59" s="541"/>
      <c r="D59" s="369" t="s">
        <v>115</v>
      </c>
      <c r="E59" s="369" t="s">
        <v>46</v>
      </c>
      <c r="J59" s="20"/>
    </row>
    <row r="60" spans="1:10" ht="99.75" x14ac:dyDescent="0.25">
      <c r="A60" s="362" t="s">
        <v>11</v>
      </c>
      <c r="B60" s="363" t="s">
        <v>12</v>
      </c>
      <c r="C60" s="541"/>
      <c r="D60" s="369" t="s">
        <v>116</v>
      </c>
      <c r="E60" s="369" t="s">
        <v>46</v>
      </c>
      <c r="J60" s="370"/>
    </row>
    <row r="61" spans="1:10" ht="99.75" x14ac:dyDescent="0.25">
      <c r="A61" s="362" t="s">
        <v>11</v>
      </c>
      <c r="B61" s="363" t="s">
        <v>12</v>
      </c>
      <c r="C61" s="541"/>
      <c r="D61" s="369" t="s">
        <v>117</v>
      </c>
      <c r="E61" s="369" t="s">
        <v>46</v>
      </c>
      <c r="J61" s="371"/>
    </row>
    <row r="62" spans="1:10" ht="42.75" x14ac:dyDescent="0.25">
      <c r="A62" s="362" t="s">
        <v>14</v>
      </c>
      <c r="B62" s="363" t="s">
        <v>15</v>
      </c>
      <c r="C62" s="541"/>
      <c r="D62" s="369" t="s">
        <v>118</v>
      </c>
      <c r="E62" s="369" t="s">
        <v>97</v>
      </c>
      <c r="J62" s="371"/>
    </row>
    <row r="63" spans="1:10" ht="75" x14ac:dyDescent="0.25">
      <c r="A63" s="362" t="s">
        <v>24</v>
      </c>
      <c r="B63" s="365" t="s">
        <v>25</v>
      </c>
      <c r="C63" s="541"/>
      <c r="D63" s="369" t="s">
        <v>119</v>
      </c>
      <c r="E63" s="369" t="s">
        <v>52</v>
      </c>
      <c r="J63" s="371"/>
    </row>
    <row r="64" spans="1:10" ht="45" x14ac:dyDescent="0.25">
      <c r="A64" s="362" t="s">
        <v>63</v>
      </c>
      <c r="B64" s="367" t="s">
        <v>64</v>
      </c>
      <c r="C64" s="542"/>
      <c r="D64" s="369" t="s">
        <v>120</v>
      </c>
      <c r="E64" s="369" t="s">
        <v>73</v>
      </c>
      <c r="J64" s="371"/>
    </row>
    <row r="65" spans="1:10" ht="75" x14ac:dyDescent="0.25">
      <c r="A65" s="362" t="s">
        <v>24</v>
      </c>
      <c r="B65" s="365" t="s">
        <v>25</v>
      </c>
      <c r="C65" s="543" t="s">
        <v>121</v>
      </c>
      <c r="D65" s="372" t="s">
        <v>122</v>
      </c>
      <c r="E65" s="372" t="s">
        <v>123</v>
      </c>
      <c r="J65" s="370"/>
    </row>
    <row r="66" spans="1:10" ht="75" x14ac:dyDescent="0.25">
      <c r="A66" s="362" t="s">
        <v>30</v>
      </c>
      <c r="B66" s="360" t="s">
        <v>31</v>
      </c>
      <c r="C66" s="544"/>
      <c r="D66" s="372" t="s">
        <v>124</v>
      </c>
      <c r="E66" s="372" t="s">
        <v>125</v>
      </c>
      <c r="J66" s="371"/>
    </row>
    <row r="67" spans="1:10" ht="75" x14ac:dyDescent="0.25">
      <c r="A67" s="362" t="s">
        <v>30</v>
      </c>
      <c r="B67" s="360" t="s">
        <v>31</v>
      </c>
      <c r="C67" s="544"/>
      <c r="D67" s="372" t="s">
        <v>126</v>
      </c>
      <c r="E67" s="372" t="s">
        <v>48</v>
      </c>
      <c r="J67" s="371"/>
    </row>
    <row r="68" spans="1:10" ht="75" x14ac:dyDescent="0.25">
      <c r="A68" s="362" t="s">
        <v>24</v>
      </c>
      <c r="B68" s="365" t="s">
        <v>25</v>
      </c>
      <c r="C68" s="545"/>
      <c r="D68" s="372" t="s">
        <v>106</v>
      </c>
      <c r="E68" s="372" t="s">
        <v>127</v>
      </c>
      <c r="J68" s="371"/>
    </row>
    <row r="69" spans="1:10" ht="45" x14ac:dyDescent="0.25">
      <c r="A69" s="362" t="s">
        <v>63</v>
      </c>
      <c r="B69" s="360" t="s">
        <v>64</v>
      </c>
      <c r="C69" s="546" t="s">
        <v>128</v>
      </c>
      <c r="D69" s="373" t="s">
        <v>129</v>
      </c>
      <c r="E69" s="373" t="s">
        <v>78</v>
      </c>
      <c r="J69" s="374"/>
    </row>
    <row r="70" spans="1:10" ht="45" x14ac:dyDescent="0.25">
      <c r="A70" s="362" t="s">
        <v>63</v>
      </c>
      <c r="B70" s="360" t="s">
        <v>64</v>
      </c>
      <c r="C70" s="547"/>
      <c r="D70" s="373" t="s">
        <v>130</v>
      </c>
      <c r="E70" s="373" t="s">
        <v>78</v>
      </c>
      <c r="J70" s="374"/>
    </row>
    <row r="71" spans="1:10" ht="45" x14ac:dyDescent="0.25">
      <c r="A71" s="362" t="s">
        <v>63</v>
      </c>
      <c r="B71" s="360" t="s">
        <v>64</v>
      </c>
      <c r="C71" s="547"/>
      <c r="D71" s="373" t="s">
        <v>131</v>
      </c>
      <c r="E71" s="373" t="s">
        <v>78</v>
      </c>
      <c r="J71" s="374"/>
    </row>
    <row r="72" spans="1:10" ht="45" x14ac:dyDescent="0.25">
      <c r="A72" s="362" t="s">
        <v>14</v>
      </c>
      <c r="B72" s="360" t="s">
        <v>15</v>
      </c>
      <c r="C72" s="547"/>
      <c r="D72" s="373" t="s">
        <v>132</v>
      </c>
      <c r="E72" s="373" t="s">
        <v>78</v>
      </c>
      <c r="J72" s="374"/>
    </row>
    <row r="73" spans="1:10" ht="42.75" x14ac:dyDescent="0.25">
      <c r="A73" s="362" t="s">
        <v>14</v>
      </c>
      <c r="B73" s="363" t="s">
        <v>15</v>
      </c>
      <c r="C73" s="547"/>
      <c r="D73" s="373" t="s">
        <v>133</v>
      </c>
      <c r="E73" s="373" t="s">
        <v>78</v>
      </c>
      <c r="J73" s="374"/>
    </row>
    <row r="74" spans="1:10" ht="75" x14ac:dyDescent="0.25">
      <c r="A74" s="362" t="s">
        <v>30</v>
      </c>
      <c r="B74" s="360" t="s">
        <v>31</v>
      </c>
      <c r="C74" s="547"/>
      <c r="D74" s="373" t="s">
        <v>134</v>
      </c>
      <c r="E74" s="373" t="s">
        <v>78</v>
      </c>
      <c r="J74" s="374"/>
    </row>
    <row r="75" spans="1:10" ht="75" x14ac:dyDescent="0.25">
      <c r="A75" s="362" t="s">
        <v>30</v>
      </c>
      <c r="B75" s="360" t="s">
        <v>31</v>
      </c>
      <c r="C75" s="547"/>
      <c r="D75" s="373" t="s">
        <v>135</v>
      </c>
      <c r="E75" s="373" t="s">
        <v>78</v>
      </c>
      <c r="J75" s="374"/>
    </row>
    <row r="76" spans="1:10" ht="75" x14ac:dyDescent="0.25">
      <c r="A76" s="362" t="s">
        <v>30</v>
      </c>
      <c r="B76" s="360" t="s">
        <v>31</v>
      </c>
      <c r="C76" s="547"/>
      <c r="D76" s="373" t="s">
        <v>136</v>
      </c>
      <c r="E76" s="373" t="s">
        <v>34</v>
      </c>
      <c r="J76" s="374"/>
    </row>
    <row r="77" spans="1:10" ht="75" x14ac:dyDescent="0.25">
      <c r="A77" s="362" t="s">
        <v>30</v>
      </c>
      <c r="B77" s="360" t="s">
        <v>31</v>
      </c>
      <c r="C77" s="547"/>
      <c r="D77" s="373" t="s">
        <v>137</v>
      </c>
      <c r="E77" s="373" t="s">
        <v>34</v>
      </c>
      <c r="J77" s="374"/>
    </row>
    <row r="78" spans="1:10" ht="75" x14ac:dyDescent="0.25">
      <c r="A78" s="362" t="s">
        <v>30</v>
      </c>
      <c r="B78" s="360" t="s">
        <v>31</v>
      </c>
      <c r="C78" s="547"/>
      <c r="D78" s="373" t="s">
        <v>138</v>
      </c>
      <c r="E78" s="373" t="s">
        <v>34</v>
      </c>
      <c r="J78" s="374"/>
    </row>
    <row r="79" spans="1:10" ht="99.75" x14ac:dyDescent="0.25">
      <c r="A79" s="362" t="s">
        <v>11</v>
      </c>
      <c r="B79" s="363" t="s">
        <v>12</v>
      </c>
      <c r="C79" s="547"/>
      <c r="D79" s="373" t="s">
        <v>139</v>
      </c>
      <c r="E79" s="373" t="s">
        <v>85</v>
      </c>
      <c r="J79" s="374"/>
    </row>
    <row r="80" spans="1:10" ht="99.75" x14ac:dyDescent="0.25">
      <c r="A80" s="362" t="s">
        <v>11</v>
      </c>
      <c r="B80" s="363" t="s">
        <v>12</v>
      </c>
      <c r="C80" s="547"/>
      <c r="D80" s="373" t="s">
        <v>140</v>
      </c>
      <c r="E80" s="373" t="s">
        <v>85</v>
      </c>
      <c r="J80" s="374"/>
    </row>
    <row r="81" spans="1:10" ht="75" x14ac:dyDescent="0.25">
      <c r="A81" s="362" t="s">
        <v>24</v>
      </c>
      <c r="B81" s="365" t="s">
        <v>25</v>
      </c>
      <c r="C81" s="548"/>
      <c r="D81" s="373" t="s">
        <v>141</v>
      </c>
      <c r="E81" s="373" t="s">
        <v>142</v>
      </c>
      <c r="J81" s="374"/>
    </row>
    <row r="82" spans="1:10" ht="42.75" x14ac:dyDescent="0.25">
      <c r="A82" s="362" t="s">
        <v>14</v>
      </c>
      <c r="B82" s="363" t="s">
        <v>15</v>
      </c>
      <c r="C82" s="547"/>
      <c r="D82" s="373" t="s">
        <v>143</v>
      </c>
      <c r="E82" s="373" t="s">
        <v>144</v>
      </c>
      <c r="J82" s="374"/>
    </row>
    <row r="83" spans="1:10" ht="75" x14ac:dyDescent="0.25">
      <c r="A83" s="362" t="s">
        <v>30</v>
      </c>
      <c r="B83" s="360" t="s">
        <v>31</v>
      </c>
      <c r="C83" s="547"/>
      <c r="D83" s="373" t="s">
        <v>145</v>
      </c>
      <c r="E83" s="373" t="s">
        <v>146</v>
      </c>
    </row>
    <row r="84" spans="1:10" ht="75" x14ac:dyDescent="0.25">
      <c r="A84" s="362" t="s">
        <v>24</v>
      </c>
      <c r="B84" s="365" t="s">
        <v>25</v>
      </c>
      <c r="C84" s="548"/>
      <c r="D84" s="373" t="s">
        <v>147</v>
      </c>
      <c r="E84" s="373" t="s">
        <v>46</v>
      </c>
    </row>
    <row r="85" spans="1:10" ht="75" x14ac:dyDescent="0.25">
      <c r="A85" s="362" t="s">
        <v>30</v>
      </c>
      <c r="B85" s="360" t="s">
        <v>31</v>
      </c>
      <c r="C85" s="547"/>
      <c r="D85" s="373" t="s">
        <v>148</v>
      </c>
      <c r="E85" s="373" t="s">
        <v>46</v>
      </c>
    </row>
    <row r="86" spans="1:10" ht="42.75" x14ac:dyDescent="0.25">
      <c r="A86" s="362" t="s">
        <v>14</v>
      </c>
      <c r="B86" s="363" t="s">
        <v>15</v>
      </c>
      <c r="C86" s="547"/>
      <c r="D86" s="373" t="s">
        <v>149</v>
      </c>
      <c r="E86" s="373" t="s">
        <v>46</v>
      </c>
    </row>
    <row r="87" spans="1:10" ht="75" x14ac:dyDescent="0.25">
      <c r="A87" s="362" t="s">
        <v>24</v>
      </c>
      <c r="B87" s="365" t="s">
        <v>25</v>
      </c>
      <c r="C87" s="548"/>
      <c r="D87" s="373" t="s">
        <v>150</v>
      </c>
      <c r="E87" s="373" t="s">
        <v>46</v>
      </c>
    </row>
    <row r="88" spans="1:10" ht="45" x14ac:dyDescent="0.25">
      <c r="A88" s="362" t="s">
        <v>63</v>
      </c>
      <c r="B88" s="360" t="s">
        <v>64</v>
      </c>
      <c r="C88" s="547"/>
      <c r="D88" s="373" t="s">
        <v>151</v>
      </c>
      <c r="E88" s="373" t="s">
        <v>46</v>
      </c>
    </row>
    <row r="89" spans="1:10" ht="30" x14ac:dyDescent="0.25">
      <c r="A89" s="362" t="s">
        <v>152</v>
      </c>
      <c r="B89" s="360" t="s">
        <v>153</v>
      </c>
      <c r="C89" s="548"/>
      <c r="D89" s="373" t="s">
        <v>154</v>
      </c>
      <c r="E89" s="373" t="s">
        <v>127</v>
      </c>
    </row>
    <row r="90" spans="1:10" ht="75" x14ac:dyDescent="0.25">
      <c r="A90" s="362" t="s">
        <v>24</v>
      </c>
      <c r="B90" s="365" t="s">
        <v>25</v>
      </c>
      <c r="C90" s="548"/>
      <c r="D90" s="373" t="s">
        <v>155</v>
      </c>
      <c r="E90" s="373" t="s">
        <v>127</v>
      </c>
    </row>
    <row r="91" spans="1:10" ht="75" x14ac:dyDescent="0.25">
      <c r="A91" s="362" t="s">
        <v>24</v>
      </c>
      <c r="B91" s="365" t="s">
        <v>25</v>
      </c>
      <c r="C91" s="548"/>
      <c r="D91" s="373" t="s">
        <v>156</v>
      </c>
      <c r="E91" s="373" t="s">
        <v>127</v>
      </c>
    </row>
    <row r="92" spans="1:10" ht="75" x14ac:dyDescent="0.25">
      <c r="A92" s="362" t="s">
        <v>24</v>
      </c>
      <c r="B92" s="365" t="s">
        <v>25</v>
      </c>
      <c r="C92" s="548"/>
      <c r="D92" s="373" t="s">
        <v>157</v>
      </c>
      <c r="E92" s="373" t="s">
        <v>52</v>
      </c>
    </row>
    <row r="93" spans="1:10" ht="45" x14ac:dyDescent="0.25">
      <c r="A93" s="362" t="s">
        <v>63</v>
      </c>
      <c r="B93" s="360" t="s">
        <v>64</v>
      </c>
      <c r="C93" s="547"/>
      <c r="D93" s="373" t="s">
        <v>158</v>
      </c>
      <c r="E93" s="373" t="s">
        <v>52</v>
      </c>
    </row>
    <row r="94" spans="1:10" ht="75" x14ac:dyDescent="0.25">
      <c r="A94" s="362" t="s">
        <v>24</v>
      </c>
      <c r="B94" s="365" t="s">
        <v>25</v>
      </c>
      <c r="C94" s="548"/>
      <c r="D94" s="373" t="s">
        <v>159</v>
      </c>
      <c r="E94" s="373" t="s">
        <v>52</v>
      </c>
    </row>
    <row r="95" spans="1:10" ht="45" x14ac:dyDescent="0.25">
      <c r="A95" s="362" t="s">
        <v>63</v>
      </c>
      <c r="B95" s="360" t="s">
        <v>64</v>
      </c>
      <c r="C95" s="547"/>
      <c r="D95" s="373" t="s">
        <v>160</v>
      </c>
      <c r="E95" s="373" t="s">
        <v>73</v>
      </c>
    </row>
    <row r="96" spans="1:10" ht="45" x14ac:dyDescent="0.25">
      <c r="A96" s="362" t="s">
        <v>63</v>
      </c>
      <c r="B96" s="360" t="s">
        <v>64</v>
      </c>
      <c r="C96" s="547"/>
      <c r="D96" s="373" t="s">
        <v>161</v>
      </c>
      <c r="E96" s="373" t="s">
        <v>73</v>
      </c>
    </row>
    <row r="97" spans="1:5" ht="30" x14ac:dyDescent="0.25">
      <c r="A97" s="362" t="s">
        <v>94</v>
      </c>
      <c r="B97" s="360" t="s">
        <v>95</v>
      </c>
      <c r="C97" s="549"/>
      <c r="D97" s="373" t="s">
        <v>162</v>
      </c>
      <c r="E97" s="373" t="s">
        <v>163</v>
      </c>
    </row>
    <row r="100" spans="1:5" x14ac:dyDescent="0.25">
      <c r="D100" s="550" t="s">
        <v>164</v>
      </c>
      <c r="E100" s="551"/>
    </row>
    <row r="101" spans="1:5" x14ac:dyDescent="0.25">
      <c r="D101" s="359" t="s">
        <v>165</v>
      </c>
      <c r="E101" s="359" t="s">
        <v>5</v>
      </c>
    </row>
    <row r="102" spans="1:5" x14ac:dyDescent="0.25">
      <c r="D102" s="525" t="s">
        <v>166</v>
      </c>
      <c r="E102" s="376" t="s">
        <v>167</v>
      </c>
    </row>
    <row r="103" spans="1:5" x14ac:dyDescent="0.25">
      <c r="D103" s="526"/>
      <c r="E103" s="376" t="s">
        <v>168</v>
      </c>
    </row>
    <row r="104" spans="1:5" x14ac:dyDescent="0.25">
      <c r="D104" s="526"/>
      <c r="E104" s="376" t="s">
        <v>169</v>
      </c>
    </row>
    <row r="105" spans="1:5" x14ac:dyDescent="0.25">
      <c r="D105" s="526"/>
      <c r="E105" s="376" t="s">
        <v>170</v>
      </c>
    </row>
    <row r="106" spans="1:5" x14ac:dyDescent="0.25">
      <c r="D106" s="526"/>
      <c r="E106" s="376" t="s">
        <v>171</v>
      </c>
    </row>
    <row r="107" spans="1:5" x14ac:dyDescent="0.25">
      <c r="D107" s="527"/>
      <c r="E107" s="376" t="s">
        <v>42</v>
      </c>
    </row>
    <row r="108" spans="1:5" x14ac:dyDescent="0.25">
      <c r="D108" s="525" t="s">
        <v>172</v>
      </c>
      <c r="E108" s="376" t="s">
        <v>173</v>
      </c>
    </row>
    <row r="109" spans="1:5" x14ac:dyDescent="0.25">
      <c r="D109" s="526"/>
      <c r="E109" s="376" t="s">
        <v>174</v>
      </c>
    </row>
    <row r="110" spans="1:5" x14ac:dyDescent="0.25">
      <c r="D110" s="526"/>
      <c r="E110" s="376" t="s">
        <v>175</v>
      </c>
    </row>
    <row r="111" spans="1:5" x14ac:dyDescent="0.25">
      <c r="D111" s="526"/>
      <c r="E111" s="376" t="s">
        <v>176</v>
      </c>
    </row>
    <row r="112" spans="1:5" x14ac:dyDescent="0.25">
      <c r="D112" s="527"/>
      <c r="E112" s="376" t="s">
        <v>125</v>
      </c>
    </row>
    <row r="113" spans="4:5" x14ac:dyDescent="0.25">
      <c r="D113" s="525" t="s">
        <v>177</v>
      </c>
      <c r="E113" s="376" t="s">
        <v>178</v>
      </c>
    </row>
    <row r="114" spans="4:5" x14ac:dyDescent="0.25">
      <c r="D114" s="526"/>
      <c r="E114" s="376" t="s">
        <v>179</v>
      </c>
    </row>
    <row r="115" spans="4:5" x14ac:dyDescent="0.25">
      <c r="D115" s="527"/>
      <c r="E115" s="376" t="s">
        <v>180</v>
      </c>
    </row>
    <row r="116" spans="4:5" x14ac:dyDescent="0.25">
      <c r="D116" s="525" t="s">
        <v>181</v>
      </c>
      <c r="E116" s="376" t="s">
        <v>44</v>
      </c>
    </row>
    <row r="117" spans="4:5" x14ac:dyDescent="0.25">
      <c r="D117" s="526"/>
      <c r="E117" s="376" t="s">
        <v>182</v>
      </c>
    </row>
    <row r="118" spans="4:5" x14ac:dyDescent="0.25">
      <c r="D118" s="527"/>
      <c r="E118" s="376" t="s">
        <v>183</v>
      </c>
    </row>
    <row r="119" spans="4:5" x14ac:dyDescent="0.25">
      <c r="D119" s="525" t="s">
        <v>184</v>
      </c>
      <c r="E119" s="376" t="s">
        <v>185</v>
      </c>
    </row>
    <row r="120" spans="4:5" x14ac:dyDescent="0.25">
      <c r="D120" s="526"/>
      <c r="E120" s="376" t="s">
        <v>68</v>
      </c>
    </row>
    <row r="121" spans="4:5" x14ac:dyDescent="0.25">
      <c r="D121" s="526"/>
      <c r="E121" s="376" t="s">
        <v>58</v>
      </c>
    </row>
    <row r="122" spans="4:5" x14ac:dyDescent="0.25">
      <c r="D122" s="526"/>
      <c r="E122" s="376" t="s">
        <v>52</v>
      </c>
    </row>
    <row r="123" spans="4:5" x14ac:dyDescent="0.25">
      <c r="D123" s="526"/>
      <c r="E123" s="376" t="s">
        <v>127</v>
      </c>
    </row>
    <row r="124" spans="4:5" x14ac:dyDescent="0.25">
      <c r="D124" s="526"/>
      <c r="E124" s="376" t="s">
        <v>186</v>
      </c>
    </row>
    <row r="125" spans="4:5" x14ac:dyDescent="0.25">
      <c r="D125" s="526"/>
      <c r="E125" s="376" t="s">
        <v>187</v>
      </c>
    </row>
    <row r="126" spans="4:5" x14ac:dyDescent="0.25">
      <c r="D126" s="526"/>
      <c r="E126" s="376" t="s">
        <v>142</v>
      </c>
    </row>
    <row r="127" spans="4:5" x14ac:dyDescent="0.25">
      <c r="D127" s="526"/>
      <c r="E127" s="376" t="s">
        <v>188</v>
      </c>
    </row>
    <row r="128" spans="4:5" x14ac:dyDescent="0.25">
      <c r="D128" s="526"/>
      <c r="E128" s="376" t="s">
        <v>103</v>
      </c>
    </row>
    <row r="129" spans="4:5" x14ac:dyDescent="0.25">
      <c r="D129" s="527"/>
      <c r="E129" s="376" t="s">
        <v>189</v>
      </c>
    </row>
    <row r="130" spans="4:5" x14ac:dyDescent="0.25">
      <c r="D130" s="525" t="s">
        <v>190</v>
      </c>
      <c r="E130" s="376" t="s">
        <v>146</v>
      </c>
    </row>
    <row r="131" spans="4:5" x14ac:dyDescent="0.25">
      <c r="D131" s="526"/>
      <c r="E131" s="376" t="s">
        <v>191</v>
      </c>
    </row>
    <row r="132" spans="4:5" x14ac:dyDescent="0.25">
      <c r="D132" s="526"/>
      <c r="E132" s="376" t="s">
        <v>71</v>
      </c>
    </row>
    <row r="133" spans="4:5" x14ac:dyDescent="0.25">
      <c r="D133" s="526"/>
      <c r="E133" s="376" t="s">
        <v>99</v>
      </c>
    </row>
    <row r="134" spans="4:5" x14ac:dyDescent="0.25">
      <c r="D134" s="527"/>
      <c r="E134" s="376" t="s">
        <v>34</v>
      </c>
    </row>
    <row r="135" spans="4:5" x14ac:dyDescent="0.25">
      <c r="D135" s="525" t="s">
        <v>192</v>
      </c>
      <c r="E135" s="376" t="s">
        <v>73</v>
      </c>
    </row>
    <row r="136" spans="4:5" x14ac:dyDescent="0.25">
      <c r="D136" s="526"/>
      <c r="E136" s="376" t="s">
        <v>193</v>
      </c>
    </row>
    <row r="137" spans="4:5" x14ac:dyDescent="0.25">
      <c r="D137" s="526"/>
      <c r="E137" s="376" t="s">
        <v>194</v>
      </c>
    </row>
    <row r="138" spans="4:5" x14ac:dyDescent="0.25">
      <c r="D138" s="526"/>
      <c r="E138" s="376" t="s">
        <v>195</v>
      </c>
    </row>
    <row r="139" spans="4:5" x14ac:dyDescent="0.25">
      <c r="D139" s="527"/>
      <c r="E139" s="376" t="s">
        <v>196</v>
      </c>
    </row>
    <row r="140" spans="4:5" x14ac:dyDescent="0.25">
      <c r="D140" s="525" t="s">
        <v>197</v>
      </c>
      <c r="E140" s="376" t="s">
        <v>46</v>
      </c>
    </row>
    <row r="141" spans="4:5" x14ac:dyDescent="0.25">
      <c r="D141" s="526"/>
      <c r="E141" s="376" t="s">
        <v>198</v>
      </c>
    </row>
    <row r="142" spans="4:5" x14ac:dyDescent="0.25">
      <c r="D142" s="526"/>
      <c r="E142" s="376" t="s">
        <v>66</v>
      </c>
    </row>
    <row r="143" spans="4:5" x14ac:dyDescent="0.25">
      <c r="D143" s="526"/>
      <c r="E143" s="376" t="s">
        <v>199</v>
      </c>
    </row>
    <row r="144" spans="4:5" x14ac:dyDescent="0.25">
      <c r="D144" s="527"/>
      <c r="E144" s="376" t="s">
        <v>200</v>
      </c>
    </row>
    <row r="146" spans="4:6" x14ac:dyDescent="0.25">
      <c r="D146" s="528" t="s">
        <v>201</v>
      </c>
      <c r="E146" s="529"/>
      <c r="F146" s="530"/>
    </row>
    <row r="147" spans="4:6" x14ac:dyDescent="0.25">
      <c r="D147" s="377" t="s">
        <v>202</v>
      </c>
      <c r="E147" s="377" t="s">
        <v>203</v>
      </c>
      <c r="F147" s="377" t="s">
        <v>204</v>
      </c>
    </row>
    <row r="148" spans="4:6" x14ac:dyDescent="0.25">
      <c r="D148" s="525" t="s">
        <v>205</v>
      </c>
      <c r="E148" s="376" t="s">
        <v>206</v>
      </c>
      <c r="F148" s="558" t="s">
        <v>207</v>
      </c>
    </row>
    <row r="149" spans="4:6" x14ac:dyDescent="0.25">
      <c r="D149" s="526"/>
      <c r="E149" s="376" t="s">
        <v>208</v>
      </c>
      <c r="F149" s="559"/>
    </row>
    <row r="150" spans="4:6" x14ac:dyDescent="0.25">
      <c r="D150" s="526"/>
      <c r="E150" s="376" t="s">
        <v>209</v>
      </c>
      <c r="F150" s="559"/>
    </row>
    <row r="151" spans="4:6" x14ac:dyDescent="0.25">
      <c r="D151" s="526"/>
      <c r="E151" s="376" t="s">
        <v>210</v>
      </c>
      <c r="F151" s="559"/>
    </row>
    <row r="152" spans="4:6" x14ac:dyDescent="0.25">
      <c r="D152" s="527"/>
      <c r="E152" s="376" t="s">
        <v>211</v>
      </c>
      <c r="F152" s="560"/>
    </row>
    <row r="153" spans="4:6" x14ac:dyDescent="0.25">
      <c r="D153" s="525" t="s">
        <v>212</v>
      </c>
      <c r="E153" s="376" t="s">
        <v>213</v>
      </c>
      <c r="F153" s="558" t="s">
        <v>214</v>
      </c>
    </row>
    <row r="154" spans="4:6" x14ac:dyDescent="0.25">
      <c r="D154" s="526"/>
      <c r="E154" s="376" t="s">
        <v>215</v>
      </c>
      <c r="F154" s="559"/>
    </row>
    <row r="155" spans="4:6" x14ac:dyDescent="0.25">
      <c r="D155" s="526"/>
      <c r="E155" s="376" t="s">
        <v>216</v>
      </c>
      <c r="F155" s="559"/>
    </row>
    <row r="156" spans="4:6" x14ac:dyDescent="0.25">
      <c r="D156" s="527"/>
      <c r="E156" s="376" t="s">
        <v>217</v>
      </c>
      <c r="F156" s="560"/>
    </row>
    <row r="157" spans="4:6" x14ac:dyDescent="0.25">
      <c r="D157" s="525" t="s">
        <v>218</v>
      </c>
      <c r="E157" s="376" t="s">
        <v>219</v>
      </c>
      <c r="F157" s="555" t="s">
        <v>220</v>
      </c>
    </row>
    <row r="158" spans="4:6" x14ac:dyDescent="0.25">
      <c r="D158" s="526"/>
      <c r="E158" s="376" t="s">
        <v>221</v>
      </c>
      <c r="F158" s="556"/>
    </row>
    <row r="159" spans="4:6" x14ac:dyDescent="0.25">
      <c r="D159" s="526"/>
      <c r="E159" s="376" t="s">
        <v>222</v>
      </c>
      <c r="F159" s="556"/>
    </row>
    <row r="160" spans="4:6" x14ac:dyDescent="0.25">
      <c r="D160" s="526"/>
      <c r="E160" s="376" t="s">
        <v>223</v>
      </c>
      <c r="F160" s="556"/>
    </row>
    <row r="161" spans="4:6" x14ac:dyDescent="0.25">
      <c r="D161" s="526"/>
      <c r="E161" s="376" t="s">
        <v>224</v>
      </c>
      <c r="F161" s="556"/>
    </row>
    <row r="162" spans="4:6" x14ac:dyDescent="0.25">
      <c r="D162" s="526"/>
      <c r="E162" s="376" t="s">
        <v>225</v>
      </c>
      <c r="F162" s="557"/>
    </row>
    <row r="163" spans="4:6" x14ac:dyDescent="0.25">
      <c r="D163" s="526"/>
      <c r="E163" s="376" t="s">
        <v>226</v>
      </c>
      <c r="F163" s="555" t="s">
        <v>227</v>
      </c>
    </row>
    <row r="164" spans="4:6" x14ac:dyDescent="0.25">
      <c r="D164" s="527"/>
      <c r="E164" s="376" t="s">
        <v>228</v>
      </c>
      <c r="F164" s="557"/>
    </row>
    <row r="165" spans="4:6" x14ac:dyDescent="0.25">
      <c r="D165" s="552" t="s">
        <v>229</v>
      </c>
      <c r="E165" s="376" t="s">
        <v>230</v>
      </c>
      <c r="F165" s="555" t="s">
        <v>231</v>
      </c>
    </row>
    <row r="166" spans="4:6" x14ac:dyDescent="0.25">
      <c r="D166" s="553"/>
      <c r="E166" s="376" t="s">
        <v>208</v>
      </c>
      <c r="F166" s="556"/>
    </row>
    <row r="167" spans="4:6" x14ac:dyDescent="0.25">
      <c r="D167" s="553"/>
      <c r="E167" s="376" t="s">
        <v>232</v>
      </c>
      <c r="F167" s="556"/>
    </row>
    <row r="168" spans="4:6" x14ac:dyDescent="0.25">
      <c r="D168" s="553"/>
      <c r="E168" s="376" t="s">
        <v>216</v>
      </c>
      <c r="F168" s="556"/>
    </row>
    <row r="169" spans="4:6" x14ac:dyDescent="0.25">
      <c r="D169" s="553"/>
      <c r="E169" s="376" t="s">
        <v>223</v>
      </c>
      <c r="F169" s="556"/>
    </row>
    <row r="170" spans="4:6" ht="30" x14ac:dyDescent="0.25">
      <c r="D170" s="554"/>
      <c r="E170" s="378" t="s">
        <v>233</v>
      </c>
      <c r="F170" s="557"/>
    </row>
    <row r="195" spans="3:3" x14ac:dyDescent="0.25">
      <c r="C195"/>
    </row>
    <row r="196" spans="3:3" x14ac:dyDescent="0.25">
      <c r="C196"/>
    </row>
    <row r="197" spans="3:3" x14ac:dyDescent="0.25">
      <c r="C197"/>
    </row>
    <row r="198" spans="3:3" x14ac:dyDescent="0.25">
      <c r="C198"/>
    </row>
    <row r="199" spans="3:3" x14ac:dyDescent="0.25">
      <c r="C199"/>
    </row>
    <row r="200" spans="3:3" x14ac:dyDescent="0.25">
      <c r="C200"/>
    </row>
    <row r="201" spans="3:3" x14ac:dyDescent="0.25">
      <c r="C201"/>
    </row>
    <row r="202" spans="3:3" x14ac:dyDescent="0.25">
      <c r="C202"/>
    </row>
    <row r="203" spans="3:3" x14ac:dyDescent="0.25">
      <c r="C203"/>
    </row>
    <row r="204" spans="3:3" x14ac:dyDescent="0.25">
      <c r="C204"/>
    </row>
    <row r="205" spans="3:3" x14ac:dyDescent="0.25">
      <c r="C205"/>
    </row>
    <row r="206" spans="3:3" x14ac:dyDescent="0.25">
      <c r="C206"/>
    </row>
    <row r="207" spans="3:3" x14ac:dyDescent="0.25">
      <c r="C207"/>
    </row>
    <row r="208" spans="3:3" x14ac:dyDescent="0.25">
      <c r="C208"/>
    </row>
    <row r="209" spans="3:3" x14ac:dyDescent="0.25">
      <c r="C209"/>
    </row>
    <row r="210" spans="3:3" x14ac:dyDescent="0.25">
      <c r="C210"/>
    </row>
    <row r="211" spans="3:3" x14ac:dyDescent="0.25">
      <c r="C211"/>
    </row>
    <row r="212" spans="3:3" x14ac:dyDescent="0.25">
      <c r="C212"/>
    </row>
    <row r="213" spans="3:3" x14ac:dyDescent="0.25">
      <c r="C213"/>
    </row>
  </sheetData>
  <autoFilter ref="A4:J97" xr:uid="{00000000-0001-0000-0500-000000000000}"/>
  <mergeCells count="26">
    <mergeCell ref="D165:D170"/>
    <mergeCell ref="F165:F170"/>
    <mergeCell ref="D119:D129"/>
    <mergeCell ref="D130:D134"/>
    <mergeCell ref="D135:D139"/>
    <mergeCell ref="D140:D144"/>
    <mergeCell ref="D146:F146"/>
    <mergeCell ref="D148:D152"/>
    <mergeCell ref="F148:F152"/>
    <mergeCell ref="D153:D156"/>
    <mergeCell ref="F153:F156"/>
    <mergeCell ref="D157:D164"/>
    <mergeCell ref="F157:F162"/>
    <mergeCell ref="F163:F164"/>
    <mergeCell ref="D116:D118"/>
    <mergeCell ref="A3:E3"/>
    <mergeCell ref="C5:C13"/>
    <mergeCell ref="C14:C33"/>
    <mergeCell ref="C34:C56"/>
    <mergeCell ref="C57:C64"/>
    <mergeCell ref="C65:C68"/>
    <mergeCell ref="C69:C97"/>
    <mergeCell ref="D100:E100"/>
    <mergeCell ref="D102:D107"/>
    <mergeCell ref="D108:D112"/>
    <mergeCell ref="D113:D1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6" customWidth="1"/>
    <col min="2" max="16384" width="11.42578125" style="6"/>
  </cols>
  <sheetData>
    <row r="3" spans="1:1" x14ac:dyDescent="0.2">
      <c r="A3" s="7" t="s">
        <v>358</v>
      </c>
    </row>
    <row r="4" spans="1:1" x14ac:dyDescent="0.2">
      <c r="A4" s="7" t="s">
        <v>522</v>
      </c>
    </row>
    <row r="5" spans="1:1" x14ac:dyDescent="0.2">
      <c r="A5" s="7" t="s">
        <v>462</v>
      </c>
    </row>
    <row r="6" spans="1:1" x14ac:dyDescent="0.2">
      <c r="A6" s="7" t="s">
        <v>601</v>
      </c>
    </row>
    <row r="7" spans="1:1" x14ac:dyDescent="0.2">
      <c r="A7" s="7" t="s">
        <v>359</v>
      </c>
    </row>
    <row r="8" spans="1:1" x14ac:dyDescent="0.2">
      <c r="A8" s="7" t="s">
        <v>360</v>
      </c>
    </row>
    <row r="9" spans="1:1" x14ac:dyDescent="0.2">
      <c r="A9" s="7" t="s">
        <v>607</v>
      </c>
    </row>
    <row r="10" spans="1:1" x14ac:dyDescent="0.2">
      <c r="A10" s="7" t="s">
        <v>361</v>
      </c>
    </row>
    <row r="11" spans="1:1" x14ac:dyDescent="0.2">
      <c r="A11" s="7" t="s">
        <v>610</v>
      </c>
    </row>
    <row r="12" spans="1:1" x14ac:dyDescent="0.2">
      <c r="A12" s="7" t="s">
        <v>629</v>
      </c>
    </row>
    <row r="13" spans="1:1" x14ac:dyDescent="0.2">
      <c r="A13" s="7" t="s">
        <v>630</v>
      </c>
    </row>
    <row r="14" spans="1:1" x14ac:dyDescent="0.2">
      <c r="A14" s="7" t="s">
        <v>631</v>
      </c>
    </row>
    <row r="16" spans="1:1" x14ac:dyDescent="0.2">
      <c r="A16" s="7" t="s">
        <v>632</v>
      </c>
    </row>
    <row r="17" spans="1:1" x14ac:dyDescent="0.2">
      <c r="A17" s="7" t="s">
        <v>615</v>
      </c>
    </row>
    <row r="18" spans="1:1" x14ac:dyDescent="0.2">
      <c r="A18" s="7" t="s">
        <v>617</v>
      </c>
    </row>
    <row r="20" spans="1:1" x14ac:dyDescent="0.2">
      <c r="A20" s="7" t="s">
        <v>620</v>
      </c>
    </row>
    <row r="21" spans="1:1" x14ac:dyDescent="0.2">
      <c r="A21" s="7" t="s">
        <v>621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tabSelected="1" zoomScale="110" zoomScaleNormal="110" workbookViewId="0">
      <selection activeCell="B2" sqref="B2:H2"/>
    </sheetView>
  </sheetViews>
  <sheetFormatPr baseColWidth="10" defaultColWidth="11.42578125" defaultRowHeight="15" x14ac:dyDescent="0.25"/>
  <cols>
    <col min="1" max="1" width="2.85546875" style="77" customWidth="1"/>
    <col min="2" max="3" width="24.7109375" style="77" customWidth="1"/>
    <col min="4" max="4" width="16" style="77" customWidth="1"/>
    <col min="5" max="5" width="24.7109375" style="77" customWidth="1"/>
    <col min="6" max="6" width="27.7109375" style="77" customWidth="1"/>
    <col min="7" max="8" width="24.7109375" style="77" customWidth="1"/>
    <col min="9" max="16384" width="11.42578125" style="77"/>
  </cols>
  <sheetData>
    <row r="1" spans="2:8" ht="15.75" thickBot="1" x14ac:dyDescent="0.3"/>
    <row r="2" spans="2:8" ht="18" x14ac:dyDescent="0.25">
      <c r="B2" s="561" t="s">
        <v>234</v>
      </c>
      <c r="C2" s="562"/>
      <c r="D2" s="562"/>
      <c r="E2" s="562"/>
      <c r="F2" s="562"/>
      <c r="G2" s="562"/>
      <c r="H2" s="563"/>
    </row>
    <row r="3" spans="2:8" x14ac:dyDescent="0.25">
      <c r="B3" s="78"/>
      <c r="C3" s="79"/>
      <c r="D3" s="79"/>
      <c r="E3" s="79"/>
      <c r="F3" s="79"/>
      <c r="G3" s="79"/>
      <c r="H3" s="80"/>
    </row>
    <row r="4" spans="2:8" ht="63" customHeight="1" x14ac:dyDescent="0.25">
      <c r="B4" s="564" t="s">
        <v>235</v>
      </c>
      <c r="C4" s="565"/>
      <c r="D4" s="565"/>
      <c r="E4" s="565"/>
      <c r="F4" s="565"/>
      <c r="G4" s="565"/>
      <c r="H4" s="566"/>
    </row>
    <row r="5" spans="2:8" ht="63" customHeight="1" x14ac:dyDescent="0.25">
      <c r="B5" s="567"/>
      <c r="C5" s="568"/>
      <c r="D5" s="568"/>
      <c r="E5" s="568"/>
      <c r="F5" s="568"/>
      <c r="G5" s="568"/>
      <c r="H5" s="569"/>
    </row>
    <row r="6" spans="2:8" ht="16.5" x14ac:dyDescent="0.25">
      <c r="B6" s="570" t="s">
        <v>236</v>
      </c>
      <c r="C6" s="571"/>
      <c r="D6" s="571"/>
      <c r="E6" s="571"/>
      <c r="F6" s="571"/>
      <c r="G6" s="571"/>
      <c r="H6" s="572"/>
    </row>
    <row r="7" spans="2:8" ht="95.25" customHeight="1" x14ac:dyDescent="0.25">
      <c r="B7" s="580" t="s">
        <v>237</v>
      </c>
      <c r="C7" s="581"/>
      <c r="D7" s="581"/>
      <c r="E7" s="581"/>
      <c r="F7" s="581"/>
      <c r="G7" s="581"/>
      <c r="H7" s="582"/>
    </row>
    <row r="8" spans="2:8" ht="16.5" x14ac:dyDescent="0.25">
      <c r="B8" s="114"/>
      <c r="C8" s="115"/>
      <c r="D8" s="115"/>
      <c r="E8" s="115"/>
      <c r="F8" s="115"/>
      <c r="G8" s="115"/>
      <c r="H8" s="116"/>
    </row>
    <row r="9" spans="2:8" ht="16.5" customHeight="1" x14ac:dyDescent="0.25">
      <c r="B9" s="573" t="s">
        <v>238</v>
      </c>
      <c r="C9" s="574"/>
      <c r="D9" s="574"/>
      <c r="E9" s="574"/>
      <c r="F9" s="574"/>
      <c r="G9" s="574"/>
      <c r="H9" s="575"/>
    </row>
    <row r="10" spans="2:8" ht="44.25" customHeight="1" x14ac:dyDescent="0.25">
      <c r="B10" s="573"/>
      <c r="C10" s="574"/>
      <c r="D10" s="574"/>
      <c r="E10" s="574"/>
      <c r="F10" s="574"/>
      <c r="G10" s="574"/>
      <c r="H10" s="575"/>
    </row>
    <row r="11" spans="2:8" ht="15.75" thickBot="1" x14ac:dyDescent="0.3">
      <c r="B11" s="103"/>
      <c r="C11" s="106"/>
      <c r="D11" s="111"/>
      <c r="E11" s="112"/>
      <c r="F11" s="112"/>
      <c r="G11" s="113"/>
      <c r="H11" s="107"/>
    </row>
    <row r="12" spans="2:8" ht="15.75" thickTop="1" x14ac:dyDescent="0.25">
      <c r="B12" s="103"/>
      <c r="C12" s="576" t="s">
        <v>239</v>
      </c>
      <c r="D12" s="577"/>
      <c r="E12" s="578" t="s">
        <v>240</v>
      </c>
      <c r="F12" s="579"/>
      <c r="G12" s="106"/>
      <c r="H12" s="107"/>
    </row>
    <row r="13" spans="2:8" ht="35.25" customHeight="1" x14ac:dyDescent="0.25">
      <c r="B13" s="103"/>
      <c r="C13" s="583" t="s">
        <v>241</v>
      </c>
      <c r="D13" s="584"/>
      <c r="E13" s="585" t="s">
        <v>242</v>
      </c>
      <c r="F13" s="586"/>
      <c r="G13" s="106"/>
      <c r="H13" s="107"/>
    </row>
    <row r="14" spans="2:8" ht="17.25" customHeight="1" x14ac:dyDescent="0.25">
      <c r="B14" s="103"/>
      <c r="C14" s="583" t="s">
        <v>243</v>
      </c>
      <c r="D14" s="584"/>
      <c r="E14" s="585" t="s">
        <v>244</v>
      </c>
      <c r="F14" s="586"/>
      <c r="G14" s="106"/>
      <c r="H14" s="107"/>
    </row>
    <row r="15" spans="2:8" ht="19.5" customHeight="1" x14ac:dyDescent="0.25">
      <c r="B15" s="103"/>
      <c r="C15" s="583" t="s">
        <v>245</v>
      </c>
      <c r="D15" s="584"/>
      <c r="E15" s="585" t="s">
        <v>246</v>
      </c>
      <c r="F15" s="586"/>
      <c r="G15" s="106"/>
      <c r="H15" s="107"/>
    </row>
    <row r="16" spans="2:8" ht="69.75" customHeight="1" x14ac:dyDescent="0.25">
      <c r="B16" s="103"/>
      <c r="C16" s="583" t="s">
        <v>247</v>
      </c>
      <c r="D16" s="584"/>
      <c r="E16" s="585" t="s">
        <v>248</v>
      </c>
      <c r="F16" s="586"/>
      <c r="G16" s="106"/>
      <c r="H16" s="107"/>
    </row>
    <row r="17" spans="2:8" ht="34.5" customHeight="1" x14ac:dyDescent="0.25">
      <c r="B17" s="103"/>
      <c r="C17" s="587" t="s">
        <v>249</v>
      </c>
      <c r="D17" s="588"/>
      <c r="E17" s="589" t="s">
        <v>250</v>
      </c>
      <c r="F17" s="590"/>
      <c r="G17" s="106"/>
      <c r="H17" s="107"/>
    </row>
    <row r="18" spans="2:8" ht="27.75" customHeight="1" x14ac:dyDescent="0.25">
      <c r="B18" s="103"/>
      <c r="C18" s="587" t="s">
        <v>251</v>
      </c>
      <c r="D18" s="588"/>
      <c r="E18" s="589" t="s">
        <v>252</v>
      </c>
      <c r="F18" s="590"/>
      <c r="G18" s="106"/>
      <c r="H18" s="107"/>
    </row>
    <row r="19" spans="2:8" ht="28.5" customHeight="1" x14ac:dyDescent="0.25">
      <c r="B19" s="103"/>
      <c r="C19" s="587" t="s">
        <v>253</v>
      </c>
      <c r="D19" s="588"/>
      <c r="E19" s="589" t="s">
        <v>254</v>
      </c>
      <c r="F19" s="590"/>
      <c r="G19" s="106"/>
      <c r="H19" s="107"/>
    </row>
    <row r="20" spans="2:8" ht="72.75" customHeight="1" x14ac:dyDescent="0.25">
      <c r="B20" s="103"/>
      <c r="C20" s="587" t="s">
        <v>255</v>
      </c>
      <c r="D20" s="588"/>
      <c r="E20" s="589" t="s">
        <v>256</v>
      </c>
      <c r="F20" s="590"/>
      <c r="G20" s="106"/>
      <c r="H20" s="107"/>
    </row>
    <row r="21" spans="2:8" ht="64.5" customHeight="1" x14ac:dyDescent="0.25">
      <c r="B21" s="103"/>
      <c r="C21" s="587" t="s">
        <v>257</v>
      </c>
      <c r="D21" s="588"/>
      <c r="E21" s="589" t="s">
        <v>258</v>
      </c>
      <c r="F21" s="590"/>
      <c r="G21" s="106"/>
      <c r="H21" s="107"/>
    </row>
    <row r="22" spans="2:8" ht="71.25" customHeight="1" x14ac:dyDescent="0.25">
      <c r="B22" s="103"/>
      <c r="C22" s="587" t="s">
        <v>259</v>
      </c>
      <c r="D22" s="588"/>
      <c r="E22" s="589" t="s">
        <v>260</v>
      </c>
      <c r="F22" s="590"/>
      <c r="G22" s="106"/>
      <c r="H22" s="107"/>
    </row>
    <row r="23" spans="2:8" ht="55.5" customHeight="1" x14ac:dyDescent="0.25">
      <c r="B23" s="103"/>
      <c r="C23" s="594" t="s">
        <v>261</v>
      </c>
      <c r="D23" s="595"/>
      <c r="E23" s="589" t="s">
        <v>262</v>
      </c>
      <c r="F23" s="590"/>
      <c r="G23" s="106"/>
      <c r="H23" s="107"/>
    </row>
    <row r="24" spans="2:8" ht="42" customHeight="1" x14ac:dyDescent="0.25">
      <c r="B24" s="103"/>
      <c r="C24" s="594" t="s">
        <v>263</v>
      </c>
      <c r="D24" s="595"/>
      <c r="E24" s="589" t="s">
        <v>264</v>
      </c>
      <c r="F24" s="590"/>
      <c r="G24" s="106"/>
      <c r="H24" s="107"/>
    </row>
    <row r="25" spans="2:8" ht="59.25" customHeight="1" x14ac:dyDescent="0.25">
      <c r="B25" s="103"/>
      <c r="C25" s="594" t="s">
        <v>265</v>
      </c>
      <c r="D25" s="595"/>
      <c r="E25" s="589" t="s">
        <v>266</v>
      </c>
      <c r="F25" s="590"/>
      <c r="G25" s="106"/>
      <c r="H25" s="107"/>
    </row>
    <row r="26" spans="2:8" ht="23.25" customHeight="1" x14ac:dyDescent="0.25">
      <c r="B26" s="103"/>
      <c r="C26" s="594" t="s">
        <v>267</v>
      </c>
      <c r="D26" s="595"/>
      <c r="E26" s="589" t="s">
        <v>268</v>
      </c>
      <c r="F26" s="590"/>
      <c r="G26" s="106"/>
      <c r="H26" s="107"/>
    </row>
    <row r="27" spans="2:8" ht="30.75" customHeight="1" x14ac:dyDescent="0.25">
      <c r="B27" s="103"/>
      <c r="C27" s="594" t="s">
        <v>269</v>
      </c>
      <c r="D27" s="595"/>
      <c r="E27" s="589" t="s">
        <v>270</v>
      </c>
      <c r="F27" s="590"/>
      <c r="G27" s="106"/>
      <c r="H27" s="107"/>
    </row>
    <row r="28" spans="2:8" ht="35.25" customHeight="1" x14ac:dyDescent="0.25">
      <c r="B28" s="103"/>
      <c r="C28" s="594" t="s">
        <v>271</v>
      </c>
      <c r="D28" s="595"/>
      <c r="E28" s="589" t="s">
        <v>272</v>
      </c>
      <c r="F28" s="590"/>
      <c r="G28" s="106"/>
      <c r="H28" s="107"/>
    </row>
    <row r="29" spans="2:8" ht="33" customHeight="1" x14ac:dyDescent="0.25">
      <c r="B29" s="103"/>
      <c r="C29" s="594" t="s">
        <v>271</v>
      </c>
      <c r="D29" s="595"/>
      <c r="E29" s="589" t="s">
        <v>272</v>
      </c>
      <c r="F29" s="590"/>
      <c r="G29" s="106"/>
      <c r="H29" s="107"/>
    </row>
    <row r="30" spans="2:8" ht="30" customHeight="1" x14ac:dyDescent="0.25">
      <c r="B30" s="103"/>
      <c r="C30" s="594" t="s">
        <v>273</v>
      </c>
      <c r="D30" s="595"/>
      <c r="E30" s="589" t="s">
        <v>274</v>
      </c>
      <c r="F30" s="590"/>
      <c r="G30" s="106"/>
      <c r="H30" s="107"/>
    </row>
    <row r="31" spans="2:8" ht="35.25" customHeight="1" x14ac:dyDescent="0.25">
      <c r="B31" s="103"/>
      <c r="C31" s="594" t="s">
        <v>275</v>
      </c>
      <c r="D31" s="595"/>
      <c r="E31" s="589" t="s">
        <v>276</v>
      </c>
      <c r="F31" s="590"/>
      <c r="G31" s="106"/>
      <c r="H31" s="107"/>
    </row>
    <row r="32" spans="2:8" ht="31.5" customHeight="1" x14ac:dyDescent="0.25">
      <c r="B32" s="103"/>
      <c r="C32" s="594" t="s">
        <v>277</v>
      </c>
      <c r="D32" s="595"/>
      <c r="E32" s="589" t="s">
        <v>278</v>
      </c>
      <c r="F32" s="590"/>
      <c r="G32" s="106"/>
      <c r="H32" s="107"/>
    </row>
    <row r="33" spans="2:8" ht="35.25" customHeight="1" x14ac:dyDescent="0.25">
      <c r="B33" s="103"/>
      <c r="C33" s="594" t="s">
        <v>279</v>
      </c>
      <c r="D33" s="595"/>
      <c r="E33" s="589" t="s">
        <v>280</v>
      </c>
      <c r="F33" s="590"/>
      <c r="G33" s="106"/>
      <c r="H33" s="107"/>
    </row>
    <row r="34" spans="2:8" ht="59.25" customHeight="1" x14ac:dyDescent="0.25">
      <c r="B34" s="103"/>
      <c r="C34" s="594" t="s">
        <v>281</v>
      </c>
      <c r="D34" s="595"/>
      <c r="E34" s="589" t="s">
        <v>282</v>
      </c>
      <c r="F34" s="590"/>
      <c r="G34" s="106"/>
      <c r="H34" s="107"/>
    </row>
    <row r="35" spans="2:8" ht="29.25" customHeight="1" x14ac:dyDescent="0.25">
      <c r="B35" s="103"/>
      <c r="C35" s="594" t="s">
        <v>283</v>
      </c>
      <c r="D35" s="595"/>
      <c r="E35" s="589" t="s">
        <v>284</v>
      </c>
      <c r="F35" s="590"/>
      <c r="G35" s="106"/>
      <c r="H35" s="107"/>
    </row>
    <row r="36" spans="2:8" ht="82.5" customHeight="1" x14ac:dyDescent="0.25">
      <c r="B36" s="103"/>
      <c r="C36" s="594" t="s">
        <v>285</v>
      </c>
      <c r="D36" s="595"/>
      <c r="E36" s="589" t="s">
        <v>286</v>
      </c>
      <c r="F36" s="590"/>
      <c r="G36" s="106"/>
      <c r="H36" s="107"/>
    </row>
    <row r="37" spans="2:8" ht="46.5" customHeight="1" x14ac:dyDescent="0.25">
      <c r="B37" s="103"/>
      <c r="C37" s="594" t="s">
        <v>287</v>
      </c>
      <c r="D37" s="595"/>
      <c r="E37" s="589" t="s">
        <v>288</v>
      </c>
      <c r="F37" s="590"/>
      <c r="G37" s="106"/>
      <c r="H37" s="107"/>
    </row>
    <row r="38" spans="2:8" ht="6.75" customHeight="1" thickBot="1" x14ac:dyDescent="0.3">
      <c r="B38" s="103"/>
      <c r="C38" s="596"/>
      <c r="D38" s="597"/>
      <c r="E38" s="598"/>
      <c r="F38" s="599"/>
      <c r="G38" s="106"/>
      <c r="H38" s="107"/>
    </row>
    <row r="39" spans="2:8" ht="15.75" thickTop="1" x14ac:dyDescent="0.25">
      <c r="B39" s="103"/>
      <c r="C39" s="104"/>
      <c r="D39" s="104"/>
      <c r="E39" s="105"/>
      <c r="F39" s="105"/>
      <c r="G39" s="106"/>
      <c r="H39" s="107"/>
    </row>
    <row r="40" spans="2:8" ht="21" customHeight="1" x14ac:dyDescent="0.25">
      <c r="B40" s="591" t="s">
        <v>289</v>
      </c>
      <c r="C40" s="592"/>
      <c r="D40" s="592"/>
      <c r="E40" s="592"/>
      <c r="F40" s="592"/>
      <c r="G40" s="592"/>
      <c r="H40" s="593"/>
    </row>
    <row r="41" spans="2:8" ht="20.25" customHeight="1" x14ac:dyDescent="0.25">
      <c r="B41" s="591" t="s">
        <v>290</v>
      </c>
      <c r="C41" s="592"/>
      <c r="D41" s="592"/>
      <c r="E41" s="592"/>
      <c r="F41" s="592"/>
      <c r="G41" s="592"/>
      <c r="H41" s="593"/>
    </row>
    <row r="42" spans="2:8" ht="20.25" customHeight="1" x14ac:dyDescent="0.25">
      <c r="B42" s="591" t="s">
        <v>291</v>
      </c>
      <c r="C42" s="592"/>
      <c r="D42" s="592"/>
      <c r="E42" s="592"/>
      <c r="F42" s="592"/>
      <c r="G42" s="592"/>
      <c r="H42" s="593"/>
    </row>
    <row r="43" spans="2:8" ht="20.25" customHeight="1" x14ac:dyDescent="0.25">
      <c r="B43" s="591" t="s">
        <v>292</v>
      </c>
      <c r="C43" s="592"/>
      <c r="D43" s="592"/>
      <c r="E43" s="592"/>
      <c r="F43" s="592"/>
      <c r="G43" s="592"/>
      <c r="H43" s="593"/>
    </row>
    <row r="44" spans="2:8" x14ac:dyDescent="0.25">
      <c r="B44" s="591" t="s">
        <v>293</v>
      </c>
      <c r="C44" s="592"/>
      <c r="D44" s="592"/>
      <c r="E44" s="592"/>
      <c r="F44" s="592"/>
      <c r="G44" s="592"/>
      <c r="H44" s="593"/>
    </row>
    <row r="45" spans="2:8" ht="15.75" thickBot="1" x14ac:dyDescent="0.3">
      <c r="B45" s="108"/>
      <c r="C45" s="109"/>
      <c r="D45" s="109"/>
      <c r="E45" s="109"/>
      <c r="F45" s="109"/>
      <c r="G45" s="109"/>
      <c r="H45" s="110"/>
    </row>
    <row r="47" spans="2:8" x14ac:dyDescent="0.25">
      <c r="B47" s="134" t="s">
        <v>294</v>
      </c>
    </row>
    <row r="48" spans="2:8" x14ac:dyDescent="0.25">
      <c r="B48" s="77" t="s">
        <v>295</v>
      </c>
    </row>
    <row r="49" spans="2:2" x14ac:dyDescent="0.25">
      <c r="B49" s="77" t="s">
        <v>296</v>
      </c>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002060"/>
  </sheetPr>
  <dimension ref="A1:KD56"/>
  <sheetViews>
    <sheetView topLeftCell="AI14" zoomScale="70" zoomScaleNormal="70" workbookViewId="0">
      <pane ySplit="1" topLeftCell="A15" activePane="bottomLeft" state="frozen"/>
      <selection activeCell="A14" sqref="A14"/>
      <selection pane="bottomLeft" activeCell="AO11" sqref="AO11"/>
    </sheetView>
  </sheetViews>
  <sheetFormatPr baseColWidth="10" defaultColWidth="11.42578125" defaultRowHeight="16.5" x14ac:dyDescent="0.3"/>
  <cols>
    <col min="1" max="1" width="10.42578125" style="2" customWidth="1"/>
    <col min="2" max="2" width="20.28515625" style="2" customWidth="1"/>
    <col min="3" max="3" width="39.85546875" style="214" customWidth="1"/>
    <col min="4" max="4" width="26.85546875" style="214" customWidth="1"/>
    <col min="5" max="5" width="20.28515625" style="2" customWidth="1"/>
    <col min="6" max="6" width="14.140625" style="2" customWidth="1"/>
    <col min="7" max="7" width="42.7109375" style="2" customWidth="1"/>
    <col min="8" max="8" width="25.42578125" style="2" customWidth="1"/>
    <col min="9" max="9" width="32.42578125" style="1" customWidth="1"/>
    <col min="10" max="10" width="27.140625" style="1" customWidth="1"/>
    <col min="11" max="11" width="17.85546875" style="1" bestFit="1" customWidth="1"/>
    <col min="12" max="12" width="26.140625" style="1" customWidth="1"/>
    <col min="13" max="13" width="25.28515625" style="1" customWidth="1"/>
    <col min="14" max="14" width="19" style="4" customWidth="1"/>
    <col min="15" max="15" width="17.85546875" style="4" customWidth="1"/>
    <col min="16" max="16" width="16.42578125" style="4" customWidth="1"/>
    <col min="17" max="17" width="7.85546875" style="4" bestFit="1" customWidth="1"/>
    <col min="18" max="18" width="27.28515625" style="1" bestFit="1" customWidth="1"/>
    <col min="19" max="19" width="21.140625" style="1" customWidth="1"/>
    <col min="20" max="20" width="17.42578125" style="2" customWidth="1"/>
    <col min="21" max="21" width="7.85546875" style="1" bestFit="1" customWidth="1"/>
    <col min="22" max="22" width="16" style="2" customWidth="1"/>
    <col min="23" max="23" width="5.85546875" style="1" customWidth="1"/>
    <col min="24" max="24" width="37.140625" style="1" customWidth="1"/>
    <col min="25" max="25" width="15.140625" style="2" bestFit="1" customWidth="1"/>
    <col min="26" max="26" width="6.85546875" style="2" customWidth="1"/>
    <col min="27" max="27" width="5" style="2" customWidth="1"/>
    <col min="28" max="28" width="5.42578125" style="2" customWidth="1"/>
    <col min="29" max="29" width="7.140625" style="2" customWidth="1"/>
    <col min="30" max="30" width="6.7109375" style="2" customWidth="1"/>
    <col min="31" max="31" width="7.42578125" style="2" customWidth="1"/>
    <col min="32" max="32" width="12.7109375" style="2" customWidth="1"/>
    <col min="33" max="33" width="8.7109375" style="2" customWidth="1"/>
    <col min="34" max="34" width="10.42578125" style="2" customWidth="1"/>
    <col min="35" max="35" width="9.28515625" style="2" customWidth="1"/>
    <col min="36" max="36" width="9.140625" style="2" customWidth="1"/>
    <col min="37" max="37" width="8.42578125" style="2" customWidth="1"/>
    <col min="38" max="38" width="7.28515625" style="2" customWidth="1"/>
    <col min="39" max="39" width="23" style="2" customWidth="1"/>
    <col min="40" max="40" width="18.85546875" style="2" customWidth="1"/>
    <col min="41" max="41" width="20.28515625" style="2" customWidth="1"/>
    <col min="42" max="42" width="17.42578125" style="2" customWidth="1"/>
    <col min="43" max="43" width="25.42578125" style="2" customWidth="1"/>
    <col min="44" max="44" width="26.7109375" style="2" customWidth="1"/>
    <col min="45" max="45" width="21" style="2" customWidth="1"/>
    <col min="46" max="46" width="26.7109375" style="2" customWidth="1"/>
    <col min="47" max="47" width="28.28515625" style="4" customWidth="1"/>
    <col min="48" max="48" width="11.42578125" style="2" customWidth="1"/>
    <col min="49" max="49" width="11.42578125" style="2"/>
    <col min="50" max="16384" width="11.42578125" style="1"/>
  </cols>
  <sheetData>
    <row r="1" spans="1:290" x14ac:dyDescent="0.3">
      <c r="A1" s="23"/>
      <c r="B1" s="23"/>
      <c r="C1" s="211"/>
      <c r="D1" s="211"/>
      <c r="E1" s="23"/>
      <c r="F1" s="23"/>
      <c r="G1" s="23"/>
      <c r="H1" s="23"/>
      <c r="I1" s="5"/>
      <c r="J1" s="5"/>
      <c r="K1" s="5"/>
      <c r="L1" s="5"/>
      <c r="M1" s="5"/>
      <c r="N1" s="22"/>
      <c r="O1" s="22"/>
      <c r="P1" s="22"/>
      <c r="Q1" s="22"/>
      <c r="R1" s="5"/>
      <c r="S1" s="5"/>
      <c r="T1" s="23"/>
      <c r="U1" s="5"/>
      <c r="V1" s="23"/>
      <c r="W1" s="5"/>
      <c r="X1" s="5"/>
      <c r="Y1" s="23"/>
      <c r="Z1" s="23"/>
      <c r="AA1" s="23"/>
      <c r="AB1" s="23"/>
      <c r="AC1" s="23"/>
      <c r="AD1" s="23"/>
      <c r="AE1" s="23"/>
      <c r="AF1" s="23"/>
      <c r="AG1" s="23"/>
      <c r="AH1" s="23"/>
      <c r="AI1" s="23"/>
      <c r="AJ1" s="23"/>
      <c r="AK1" s="23"/>
      <c r="AL1" s="23"/>
      <c r="AM1" s="23"/>
      <c r="AN1" s="23"/>
      <c r="AO1" s="23"/>
      <c r="AP1" s="23"/>
      <c r="AQ1" s="23"/>
      <c r="AR1" s="23"/>
      <c r="AS1" s="23"/>
    </row>
    <row r="2" spans="1:290" x14ac:dyDescent="0.3">
      <c r="A2" s="23"/>
      <c r="B2" s="23"/>
      <c r="C2" s="212" t="s">
        <v>297</v>
      </c>
      <c r="D2" s="212"/>
      <c r="E2" s="118"/>
      <c r="F2" s="23"/>
      <c r="G2" s="23"/>
      <c r="H2" s="23"/>
      <c r="I2" s="5"/>
      <c r="J2" s="5"/>
      <c r="K2" s="5"/>
      <c r="L2" s="5"/>
      <c r="M2" s="5"/>
      <c r="N2" s="22"/>
      <c r="O2" s="22"/>
      <c r="P2" s="22"/>
      <c r="Q2" s="22"/>
      <c r="R2" s="5"/>
      <c r="S2" s="5"/>
      <c r="T2" s="23"/>
      <c r="U2" s="5"/>
      <c r="V2" s="23"/>
      <c r="W2" s="5"/>
      <c r="X2" s="5"/>
      <c r="Y2" s="23"/>
      <c r="Z2" s="23"/>
      <c r="AA2" s="23"/>
      <c r="AB2" s="23"/>
      <c r="AC2" s="23"/>
      <c r="AD2" s="23"/>
      <c r="AE2" s="23"/>
      <c r="AF2" s="23"/>
      <c r="AG2" s="23"/>
      <c r="AH2" s="23"/>
      <c r="AI2" s="23"/>
      <c r="AJ2" s="23"/>
      <c r="AK2" s="23"/>
      <c r="AL2" s="23"/>
      <c r="AM2" s="23"/>
      <c r="AN2" s="23"/>
      <c r="AO2" s="23"/>
      <c r="AP2" s="23"/>
      <c r="AQ2" s="23"/>
      <c r="AR2" s="23"/>
      <c r="AS2" s="23"/>
    </row>
    <row r="3" spans="1:290" x14ac:dyDescent="0.3">
      <c r="A3" s="23"/>
      <c r="B3" s="23"/>
      <c r="C3" s="212" t="s">
        <v>298</v>
      </c>
      <c r="D3" s="212"/>
      <c r="E3" s="118"/>
      <c r="F3" s="23"/>
      <c r="G3" s="23"/>
      <c r="H3" s="23"/>
      <c r="I3" s="5"/>
      <c r="J3" s="5"/>
      <c r="K3" s="5"/>
      <c r="L3" s="5"/>
      <c r="M3" s="5"/>
      <c r="N3" s="22"/>
      <c r="O3" s="22"/>
      <c r="P3" s="22"/>
      <c r="Q3" s="22"/>
      <c r="R3" s="5"/>
      <c r="S3" s="5"/>
      <c r="T3" s="23"/>
      <c r="U3" s="5"/>
      <c r="V3" s="23"/>
      <c r="W3" s="5"/>
      <c r="X3" s="5"/>
      <c r="Y3" s="23"/>
      <c r="Z3" s="23"/>
      <c r="AA3" s="23"/>
      <c r="AB3" s="23"/>
      <c r="AC3" s="23"/>
      <c r="AD3" s="23"/>
      <c r="AE3" s="23"/>
      <c r="AF3" s="23"/>
      <c r="AG3" s="23"/>
      <c r="AH3" s="23"/>
      <c r="AI3" s="23"/>
      <c r="AJ3" s="23"/>
      <c r="AK3" s="23"/>
      <c r="AL3" s="23"/>
      <c r="AM3" s="23"/>
      <c r="AN3" s="23"/>
      <c r="AO3" s="23"/>
      <c r="AP3" s="23"/>
      <c r="AQ3" s="23"/>
      <c r="AR3" s="23"/>
      <c r="AS3" s="23"/>
    </row>
    <row r="4" spans="1:290" ht="16.5" customHeight="1" x14ac:dyDescent="0.3">
      <c r="A4" s="23"/>
      <c r="B4" s="23"/>
      <c r="C4" s="212" t="s">
        <v>299</v>
      </c>
      <c r="D4" s="212"/>
      <c r="E4" s="118"/>
      <c r="F4" s="23"/>
      <c r="G4" s="23"/>
      <c r="H4" s="23"/>
      <c r="I4" s="5"/>
      <c r="J4" s="5"/>
      <c r="K4" s="5"/>
      <c r="L4" s="5"/>
      <c r="M4" s="5"/>
      <c r="N4" s="22"/>
      <c r="O4" s="22"/>
      <c r="P4" s="22"/>
      <c r="Q4" s="22"/>
      <c r="R4" s="5"/>
      <c r="S4" s="5"/>
      <c r="T4" s="23"/>
      <c r="U4" s="5"/>
      <c r="V4" s="23"/>
      <c r="W4" s="5"/>
      <c r="X4" s="5"/>
      <c r="Y4" s="23"/>
      <c r="Z4" s="23"/>
      <c r="AA4" s="23"/>
      <c r="AB4" s="23"/>
      <c r="AC4" s="23"/>
      <c r="AD4" s="23"/>
      <c r="AE4" s="23"/>
      <c r="AF4" s="23"/>
      <c r="AG4" s="23"/>
      <c r="AH4" s="23"/>
      <c r="AI4" s="23"/>
      <c r="AJ4" s="23"/>
      <c r="AK4" s="23"/>
      <c r="AL4" s="23"/>
      <c r="AM4" s="23"/>
      <c r="AN4" s="23"/>
      <c r="AO4" s="23"/>
      <c r="AP4" s="23"/>
      <c r="AQ4" s="23"/>
      <c r="AR4" s="23"/>
      <c r="AS4" s="23"/>
      <c r="AT4" s="23"/>
      <c r="AU4" s="22"/>
      <c r="AV4" s="23"/>
      <c r="AW4" s="23"/>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row>
    <row r="5" spans="1:290" x14ac:dyDescent="0.3">
      <c r="A5" s="23"/>
      <c r="B5" s="23"/>
      <c r="C5" s="212" t="s">
        <v>300</v>
      </c>
      <c r="D5" s="212"/>
      <c r="E5" s="118"/>
      <c r="F5" s="23"/>
      <c r="G5" s="23"/>
      <c r="H5" s="23"/>
      <c r="I5" s="5"/>
      <c r="J5" s="5"/>
      <c r="K5" s="5"/>
      <c r="L5" s="5"/>
      <c r="M5" s="5"/>
      <c r="N5" s="22"/>
      <c r="O5" s="22"/>
      <c r="P5" s="22"/>
      <c r="Q5" s="22"/>
      <c r="R5" s="5"/>
      <c r="S5" s="5"/>
      <c r="T5" s="23"/>
      <c r="U5" s="5"/>
      <c r="V5" s="23"/>
      <c r="W5" s="5"/>
      <c r="X5" s="5"/>
      <c r="Y5" s="23"/>
      <c r="Z5" s="23"/>
      <c r="AA5" s="23"/>
      <c r="AB5" s="23"/>
      <c r="AC5" s="23"/>
      <c r="AD5" s="23"/>
      <c r="AE5" s="23"/>
      <c r="AF5" s="23"/>
      <c r="AG5" s="23"/>
      <c r="AH5" s="23"/>
      <c r="AI5" s="23"/>
      <c r="AJ5" s="23"/>
      <c r="AK5" s="23"/>
      <c r="AL5" s="23"/>
      <c r="AM5" s="23"/>
      <c r="AN5" s="23"/>
      <c r="AO5" s="23"/>
      <c r="AP5" s="23"/>
      <c r="AQ5" s="23"/>
      <c r="AR5" s="23"/>
      <c r="AS5" s="23"/>
      <c r="AT5" s="23"/>
      <c r="AU5" s="22"/>
      <c r="AV5" s="23"/>
      <c r="AW5" s="23"/>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row>
    <row r="6" spans="1:290" ht="12.75" customHeight="1" x14ac:dyDescent="0.3">
      <c r="A6" s="23"/>
      <c r="B6" s="23"/>
      <c r="C6" s="211"/>
      <c r="D6" s="211"/>
      <c r="E6" s="23"/>
      <c r="F6" s="117"/>
      <c r="G6" s="23"/>
      <c r="H6" s="23"/>
      <c r="I6" s="5"/>
      <c r="J6" s="5"/>
      <c r="K6" s="5"/>
      <c r="L6" s="5"/>
      <c r="M6" s="5"/>
      <c r="N6" s="22"/>
      <c r="O6" s="22"/>
      <c r="P6" s="22"/>
      <c r="Q6" s="22"/>
      <c r="R6" s="5"/>
      <c r="S6" s="5"/>
      <c r="T6" s="23"/>
      <c r="U6" s="5"/>
      <c r="V6" s="23"/>
      <c r="W6" s="5"/>
      <c r="X6" s="5"/>
      <c r="Y6" s="23"/>
      <c r="Z6" s="23"/>
      <c r="AA6" s="23"/>
      <c r="AB6" s="23"/>
      <c r="AC6" s="23"/>
      <c r="AD6" s="23"/>
      <c r="AE6" s="23"/>
      <c r="AF6" s="23"/>
      <c r="AG6" s="23"/>
      <c r="AH6" s="23"/>
      <c r="AI6" s="23"/>
      <c r="AJ6" s="23"/>
      <c r="AK6" s="23"/>
      <c r="AL6" s="23"/>
      <c r="AM6" s="23"/>
      <c r="AN6" s="23"/>
      <c r="AO6" s="23"/>
      <c r="AP6" s="23"/>
      <c r="AQ6" s="23"/>
      <c r="AR6" s="23"/>
      <c r="AS6" s="23"/>
      <c r="AT6" s="23"/>
      <c r="AU6" s="22"/>
      <c r="AV6" s="23"/>
      <c r="AW6" s="23"/>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row>
    <row r="7" spans="1:290" ht="13.5" customHeight="1" x14ac:dyDescent="0.3">
      <c r="A7" s="23"/>
      <c r="B7" s="23"/>
      <c r="C7" s="211"/>
      <c r="D7" s="211"/>
      <c r="E7" s="23"/>
      <c r="F7" s="117"/>
      <c r="G7" s="23"/>
      <c r="H7" s="23"/>
      <c r="I7" s="5"/>
      <c r="J7" s="5"/>
      <c r="K7" s="5"/>
      <c r="L7" s="5"/>
      <c r="M7" s="5"/>
      <c r="N7" s="22"/>
      <c r="O7" s="22"/>
      <c r="P7" s="22"/>
      <c r="Q7" s="22"/>
      <c r="R7" s="5"/>
      <c r="S7" s="5"/>
      <c r="T7" s="23"/>
      <c r="U7" s="5"/>
      <c r="V7" s="23"/>
      <c r="W7" s="5"/>
      <c r="X7" s="5"/>
      <c r="Y7" s="23"/>
      <c r="Z7" s="23"/>
      <c r="AA7" s="23"/>
      <c r="AB7" s="23"/>
      <c r="AC7" s="23"/>
      <c r="AD7" s="23"/>
      <c r="AE7" s="23"/>
      <c r="AF7" s="23"/>
      <c r="AG7" s="23"/>
      <c r="AH7" s="23"/>
      <c r="AI7" s="23"/>
      <c r="AJ7" s="23"/>
      <c r="AK7" s="23"/>
      <c r="AL7" s="23"/>
      <c r="AM7" s="23"/>
      <c r="AN7" s="23"/>
      <c r="AO7" s="23"/>
      <c r="AP7" s="23"/>
      <c r="AQ7" s="23"/>
      <c r="AR7" s="23"/>
      <c r="AS7" s="23"/>
      <c r="AT7" s="23"/>
      <c r="AU7" s="22"/>
      <c r="AV7" s="23"/>
      <c r="AW7" s="23"/>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row>
    <row r="8" spans="1:290" ht="8.25" customHeight="1" x14ac:dyDescent="0.3">
      <c r="A8" s="135"/>
      <c r="B8" s="119"/>
      <c r="C8" s="211"/>
      <c r="D8" s="211"/>
      <c r="E8" s="23"/>
      <c r="F8" s="119"/>
      <c r="G8" s="670"/>
      <c r="H8" s="670"/>
      <c r="I8" s="670"/>
      <c r="J8" s="670"/>
      <c r="K8" s="670"/>
      <c r="L8" s="670"/>
      <c r="M8" s="670"/>
      <c r="N8" s="670"/>
      <c r="O8" s="670"/>
      <c r="P8" s="670"/>
      <c r="Q8" s="670"/>
      <c r="R8" s="670"/>
      <c r="S8" s="670"/>
      <c r="T8" s="670"/>
      <c r="U8" s="670"/>
      <c r="V8" s="670"/>
      <c r="W8" s="671"/>
      <c r="X8" s="671"/>
      <c r="Y8" s="671"/>
      <c r="Z8" s="23"/>
      <c r="AA8" s="23"/>
      <c r="AB8" s="23"/>
      <c r="AC8" s="23"/>
      <c r="AD8" s="23"/>
      <c r="AE8" s="23"/>
      <c r="AF8" s="23"/>
      <c r="AG8" s="23"/>
      <c r="AH8" s="23"/>
      <c r="AI8" s="23"/>
      <c r="AJ8" s="23"/>
      <c r="AK8" s="23"/>
      <c r="AL8" s="23"/>
      <c r="AM8" s="23"/>
      <c r="AN8" s="23"/>
      <c r="AO8" s="23"/>
      <c r="AP8" s="23"/>
      <c r="AQ8" s="23"/>
      <c r="AR8" s="23"/>
      <c r="AS8" s="23"/>
      <c r="AT8" s="23"/>
      <c r="AU8" s="22"/>
      <c r="AV8" s="23"/>
      <c r="AW8" s="23"/>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row>
    <row r="9" spans="1:290" ht="16.5" customHeight="1" x14ac:dyDescent="0.3">
      <c r="A9" s="135"/>
      <c r="B9" s="119"/>
      <c r="C9" s="212" t="s">
        <v>301</v>
      </c>
      <c r="D9" s="212"/>
      <c r="E9" s="118"/>
      <c r="F9" s="119"/>
      <c r="G9" s="120"/>
      <c r="H9" s="120"/>
      <c r="I9" s="120"/>
      <c r="J9" s="120"/>
      <c r="K9" s="120"/>
      <c r="L9" s="120"/>
      <c r="M9" s="120"/>
      <c r="N9" s="120"/>
      <c r="O9" s="137"/>
      <c r="P9" s="137"/>
      <c r="Q9" s="137"/>
      <c r="R9" s="120"/>
      <c r="S9" s="120"/>
      <c r="T9" s="137"/>
      <c r="U9" s="120"/>
      <c r="V9" s="137"/>
      <c r="W9" s="117"/>
      <c r="X9" s="117"/>
      <c r="Y9" s="23"/>
      <c r="Z9" s="23"/>
      <c r="AA9" s="23"/>
      <c r="AB9" s="23"/>
      <c r="AC9" s="23"/>
      <c r="AD9" s="23"/>
      <c r="AE9" s="23"/>
      <c r="AF9" s="23"/>
      <c r="AG9" s="23"/>
      <c r="AH9" s="23"/>
      <c r="AI9" s="23"/>
      <c r="AJ9" s="23"/>
      <c r="AK9" s="23"/>
      <c r="AL9" s="23"/>
      <c r="AM9" s="23"/>
      <c r="AN9" s="23"/>
      <c r="AO9" s="23"/>
      <c r="AP9" s="23"/>
      <c r="AQ9" s="23"/>
      <c r="AR9" s="23"/>
      <c r="AS9" s="23"/>
      <c r="AT9" s="23"/>
      <c r="AU9" s="22"/>
      <c r="AV9" s="23"/>
      <c r="AW9" s="23"/>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row>
    <row r="10" spans="1:290" ht="30" customHeight="1" x14ac:dyDescent="0.3">
      <c r="A10" s="681" t="s">
        <v>302</v>
      </c>
      <c r="B10" s="682"/>
      <c r="C10" s="682"/>
      <c r="D10" s="682"/>
      <c r="E10" s="682"/>
      <c r="F10" s="682"/>
      <c r="G10" s="682"/>
      <c r="H10" s="682"/>
      <c r="I10" s="682"/>
      <c r="J10" s="682"/>
      <c r="K10" s="682"/>
      <c r="L10" s="682"/>
      <c r="M10" s="682"/>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682"/>
      <c r="AK10" s="682"/>
      <c r="AL10" s="682"/>
      <c r="AM10" s="682"/>
      <c r="AN10" s="682"/>
      <c r="AO10" s="682"/>
      <c r="AP10" s="682"/>
      <c r="AQ10" s="682"/>
      <c r="AR10" s="682"/>
      <c r="AS10" s="682"/>
      <c r="AT10" s="682"/>
      <c r="AU10" s="22"/>
      <c r="AV10" s="23"/>
      <c r="AW10" s="23"/>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row>
    <row r="11" spans="1:290" ht="10.5" customHeight="1" x14ac:dyDescent="0.3">
      <c r="A11" s="136"/>
      <c r="B11" s="131"/>
      <c r="C11" s="213"/>
      <c r="D11" s="213"/>
      <c r="E11" s="131"/>
      <c r="F11" s="131"/>
      <c r="G11" s="131"/>
      <c r="H11" s="131"/>
      <c r="I11" s="131"/>
      <c r="J11" s="131"/>
      <c r="K11" s="131"/>
      <c r="L11" s="131"/>
      <c r="M11" s="131"/>
      <c r="N11" s="131"/>
      <c r="O11" s="138"/>
      <c r="P11" s="138"/>
      <c r="Q11" s="138"/>
      <c r="R11" s="131"/>
      <c r="S11" s="131"/>
      <c r="T11" s="138"/>
      <c r="U11" s="131"/>
      <c r="V11" s="138"/>
      <c r="W11" s="131"/>
      <c r="X11" s="131"/>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22"/>
      <c r="AV11" s="23"/>
      <c r="AW11" s="23"/>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row>
    <row r="12" spans="1:290" x14ac:dyDescent="0.3">
      <c r="A12" s="672" t="s">
        <v>303</v>
      </c>
      <c r="B12" s="673"/>
      <c r="C12" s="673"/>
      <c r="D12" s="673"/>
      <c r="E12" s="673"/>
      <c r="F12" s="673"/>
      <c r="G12" s="673"/>
      <c r="H12" s="673"/>
      <c r="I12" s="673"/>
      <c r="J12" s="673"/>
      <c r="K12" s="673"/>
      <c r="L12" s="673"/>
      <c r="M12" s="673"/>
      <c r="N12" s="673"/>
      <c r="O12" s="674"/>
      <c r="P12" s="675" t="s">
        <v>304</v>
      </c>
      <c r="Q12" s="676"/>
      <c r="R12" s="676"/>
      <c r="S12" s="676"/>
      <c r="T12" s="676"/>
      <c r="U12" s="676"/>
      <c r="V12" s="677"/>
      <c r="W12" s="672" t="s">
        <v>305</v>
      </c>
      <c r="X12" s="673"/>
      <c r="Y12" s="673"/>
      <c r="Z12" s="673"/>
      <c r="AA12" s="673"/>
      <c r="AB12" s="673"/>
      <c r="AC12" s="673"/>
      <c r="AD12" s="673"/>
      <c r="AE12" s="674"/>
      <c r="AF12" s="675" t="s">
        <v>306</v>
      </c>
      <c r="AG12" s="676"/>
      <c r="AH12" s="676"/>
      <c r="AI12" s="676"/>
      <c r="AJ12" s="676"/>
      <c r="AK12" s="676"/>
      <c r="AL12" s="677"/>
      <c r="AM12" s="672" t="s">
        <v>307</v>
      </c>
      <c r="AN12" s="673"/>
      <c r="AO12" s="673"/>
      <c r="AP12" s="673"/>
      <c r="AQ12" s="673"/>
      <c r="AR12" s="673"/>
      <c r="AS12" s="673"/>
      <c r="AT12" s="673"/>
      <c r="AU12" s="219"/>
      <c r="AV12" s="211"/>
      <c r="AW12" s="23"/>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row>
    <row r="13" spans="1:290" ht="16.5" customHeight="1" x14ac:dyDescent="0.3">
      <c r="A13" s="649" t="s">
        <v>308</v>
      </c>
      <c r="B13" s="647" t="s">
        <v>309</v>
      </c>
      <c r="C13" s="648" t="s">
        <v>310</v>
      </c>
      <c r="D13" s="523"/>
      <c r="E13" s="648" t="s">
        <v>311</v>
      </c>
      <c r="F13" s="647" t="s">
        <v>249</v>
      </c>
      <c r="G13" s="656" t="s">
        <v>251</v>
      </c>
      <c r="H13" s="656" t="s">
        <v>312</v>
      </c>
      <c r="I13" s="656" t="s">
        <v>255</v>
      </c>
      <c r="J13" s="672" t="s">
        <v>313</v>
      </c>
      <c r="K13" s="673"/>
      <c r="L13" s="673"/>
      <c r="M13" s="674"/>
      <c r="N13" s="648" t="s">
        <v>257</v>
      </c>
      <c r="O13" s="656" t="s">
        <v>314</v>
      </c>
      <c r="P13" s="680" t="s">
        <v>315</v>
      </c>
      <c r="Q13" s="658" t="s">
        <v>316</v>
      </c>
      <c r="R13" s="679" t="s">
        <v>317</v>
      </c>
      <c r="S13" s="679" t="s">
        <v>318</v>
      </c>
      <c r="T13" s="658" t="s">
        <v>319</v>
      </c>
      <c r="U13" s="658" t="s">
        <v>316</v>
      </c>
      <c r="V13" s="678" t="s">
        <v>263</v>
      </c>
      <c r="W13" s="649" t="s">
        <v>320</v>
      </c>
      <c r="X13" s="647" t="s">
        <v>265</v>
      </c>
      <c r="Y13" s="648" t="s">
        <v>267</v>
      </c>
      <c r="Z13" s="647" t="s">
        <v>321</v>
      </c>
      <c r="AA13" s="647"/>
      <c r="AB13" s="647"/>
      <c r="AC13" s="647"/>
      <c r="AD13" s="647"/>
      <c r="AE13" s="647"/>
      <c r="AF13" s="651" t="s">
        <v>322</v>
      </c>
      <c r="AG13" s="651" t="s">
        <v>323</v>
      </c>
      <c r="AH13" s="651" t="s">
        <v>316</v>
      </c>
      <c r="AI13" s="651" t="s">
        <v>324</v>
      </c>
      <c r="AJ13" s="651" t="s">
        <v>316</v>
      </c>
      <c r="AK13" s="651" t="s">
        <v>325</v>
      </c>
      <c r="AL13" s="652" t="s">
        <v>283</v>
      </c>
      <c r="AM13" s="647" t="s">
        <v>307</v>
      </c>
      <c r="AN13" s="647" t="s">
        <v>326</v>
      </c>
      <c r="AO13" s="647" t="s">
        <v>327</v>
      </c>
      <c r="AP13" s="647" t="s">
        <v>328</v>
      </c>
      <c r="AQ13" s="647" t="s">
        <v>329</v>
      </c>
      <c r="AR13" s="647" t="s">
        <v>330</v>
      </c>
      <c r="AS13" s="647" t="s">
        <v>287</v>
      </c>
      <c r="AT13" s="647" t="s">
        <v>331</v>
      </c>
      <c r="AU13" s="219"/>
      <c r="AV13" s="211"/>
      <c r="AW13" s="23"/>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row>
    <row r="14" spans="1:290" s="3" customFormat="1" ht="94.5" customHeight="1" x14ac:dyDescent="0.25">
      <c r="A14" s="650"/>
      <c r="B14" s="648"/>
      <c r="C14" s="655"/>
      <c r="D14" s="139" t="s">
        <v>332</v>
      </c>
      <c r="E14" s="655"/>
      <c r="F14" s="648"/>
      <c r="G14" s="648"/>
      <c r="H14" s="648"/>
      <c r="I14" s="648"/>
      <c r="J14" s="139" t="s">
        <v>333</v>
      </c>
      <c r="K14" s="139" t="s">
        <v>334</v>
      </c>
      <c r="L14" s="139" t="s">
        <v>335</v>
      </c>
      <c r="M14" s="139" t="s">
        <v>336</v>
      </c>
      <c r="N14" s="655"/>
      <c r="O14" s="648"/>
      <c r="P14" s="680"/>
      <c r="Q14" s="658"/>
      <c r="R14" s="680"/>
      <c r="S14" s="680"/>
      <c r="T14" s="658"/>
      <c r="U14" s="658"/>
      <c r="V14" s="679"/>
      <c r="W14" s="650"/>
      <c r="X14" s="648"/>
      <c r="Y14" s="655"/>
      <c r="Z14" s="161" t="s">
        <v>165</v>
      </c>
      <c r="AA14" s="161" t="s">
        <v>337</v>
      </c>
      <c r="AB14" s="161" t="s">
        <v>338</v>
      </c>
      <c r="AC14" s="161" t="s">
        <v>339</v>
      </c>
      <c r="AD14" s="161" t="s">
        <v>340</v>
      </c>
      <c r="AE14" s="161" t="s">
        <v>341</v>
      </c>
      <c r="AF14" s="652"/>
      <c r="AG14" s="652"/>
      <c r="AH14" s="652"/>
      <c r="AI14" s="652"/>
      <c r="AJ14" s="652"/>
      <c r="AK14" s="652"/>
      <c r="AL14" s="657"/>
      <c r="AM14" s="648"/>
      <c r="AN14" s="648"/>
      <c r="AO14" s="648"/>
      <c r="AP14" s="648"/>
      <c r="AQ14" s="648"/>
      <c r="AR14" s="648"/>
      <c r="AS14" s="648"/>
      <c r="AT14" s="648"/>
      <c r="AU14" s="220" t="s">
        <v>341</v>
      </c>
      <c r="AV14" s="220"/>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row>
    <row r="15" spans="1:290" s="5" customFormat="1" ht="180.75" hidden="1" customHeight="1" x14ac:dyDescent="0.3">
      <c r="A15" s="622" t="s">
        <v>342</v>
      </c>
      <c r="B15" s="622" t="s">
        <v>343</v>
      </c>
      <c r="C15" s="622" t="s">
        <v>344</v>
      </c>
      <c r="D15" s="524" t="s">
        <v>345</v>
      </c>
      <c r="E15" s="622" t="s">
        <v>346</v>
      </c>
      <c r="F15" s="665" t="s">
        <v>347</v>
      </c>
      <c r="G15" s="665" t="s">
        <v>348</v>
      </c>
      <c r="H15" s="158" t="s">
        <v>349</v>
      </c>
      <c r="I15" s="429" t="s">
        <v>350</v>
      </c>
      <c r="J15" s="380" t="s">
        <v>351</v>
      </c>
      <c r="K15" s="380" t="s">
        <v>8</v>
      </c>
      <c r="L15" s="380" t="s">
        <v>352</v>
      </c>
      <c r="M15" s="381" t="s">
        <v>353</v>
      </c>
      <c r="N15" s="382" t="s">
        <v>354</v>
      </c>
      <c r="O15" s="382">
        <v>12</v>
      </c>
      <c r="P15" s="383" t="str">
        <f t="shared" ref="P15:P28" si="0">IF(O15&lt;=0,"",IF(O15&lt;=2,"Muy Baja",IF(O15&lt;=24,"Baja",IF(O15&lt;=500,"Media",IF(O15&lt;=5000,"Alta","Muy Alta")))))</f>
        <v>Baja</v>
      </c>
      <c r="Q15" s="384">
        <f t="shared" ref="Q15:Q28" si="1">IF(P15="","",IF(P15="Muy Baja",0.2,IF(P15="Baja",0.4,IF(P15="Media",0.6,IF(P15="Alta",0.8,IF(P15="Muy Alta",1,))))))</f>
        <v>0.4</v>
      </c>
      <c r="R15" s="385" t="s">
        <v>355</v>
      </c>
      <c r="S15" s="386" t="str">
        <f>IF(NOT(ISERROR(MATCH(R15,'Tabla Impacto'!$B$221:$B$223,0))),'Tabla Impacto'!$F$223&amp;"Por favor no seleccionar los criterios de impacto(Afectación Económica o presupuestal y Pérdida Reputacional)",R15)</f>
        <v xml:space="preserve">     El riesgo afecta la imagen de alguna área de la organización</v>
      </c>
      <c r="T15" s="383" t="str">
        <f>IF(OR(S15='Tabla Impacto'!$C$11,S15='Tabla Impacto'!$D$11),"Leve",IF(OR(S15='Tabla Impacto'!$C$12,S15='Tabla Impacto'!$D$12),"Menor",IF(OR(S15='Tabla Impacto'!$C$13,S15='Tabla Impacto'!$D$13),"Moderado",IF(OR(S15='Tabla Impacto'!$C$14,S15='Tabla Impacto'!$D$14),"Mayor",IF(OR(S15='Tabla Impacto'!$C$15,S15='Tabla Impacto'!$D$15),"Catastrófico","")))))</f>
        <v>Leve</v>
      </c>
      <c r="U15" s="386">
        <f t="shared" ref="U15:U28" si="2">IF(T15="","",IF(T15="Leve",0.2,IF(T15="Menor",0.4,IF(T15="Moderado",0.6,IF(T15="Mayor",0.8,IF(T15="Catastrófico",1,))))))</f>
        <v>0.2</v>
      </c>
      <c r="V15" s="383" t="str">
        <f t="shared" ref="V15:V28" si="3">IF(OR(AND(P15="Muy Baja",T15="Leve"),AND(P15="Muy Baja",T15="Menor"),AND(P15="Baja",T15="Leve")),"Bajo",IF(OR(AND(P15="Muy baja",T15="Moderado"),AND(P15="Baja",T15="Menor"),AND(P15="Baja",T15="Moderado"),AND(P15="Media",T15="Leve"),AND(P15="Media",T15="Menor"),AND(P15="Media",T15="Moderado"),AND(P15="Alta",T15="Leve"),AND(P15="Alta",T15="Menor")),"Moderado",IF(OR(AND(P15="Muy Baja",T15="Mayor"),AND(P15="Baja",T15="Mayor"),AND(P15="Media",T15="Mayor"),AND(P15="Alta",T15="Moderado"),AND(P15="Alta",T15="Mayor"),AND(P15="Muy Alta",T15="Leve"),AND(P15="Muy Alta",T15="Menor"),AND(P15="Muy Alta",T15="Moderado"),AND(P15="Muy Alta",T15="Mayor")),"Alto",IF(OR(AND(P15="Muy Baja",T15="Catastrófico"),AND(P15="Baja",T15="Catastrófico"),AND(P15="Media",T15="Catastrófico"),AND(P15="Alta",T15="Catastrófico"),AND(P15="Muy Alta",T15="Catastrófico")),"Extremo",""))))</f>
        <v>Bajo</v>
      </c>
      <c r="W15" s="381" t="s">
        <v>356</v>
      </c>
      <c r="X15" s="398" t="s">
        <v>357</v>
      </c>
      <c r="Y15" s="387" t="str">
        <f t="shared" ref="Y15" si="4">IF(OR(Z15="Preventivo",Z15="Detectivo"),"Probabilidad",IF(Z15="Correctivo","Impacto",""))</f>
        <v>Probabilidad</v>
      </c>
      <c r="Z15" s="388" t="s">
        <v>358</v>
      </c>
      <c r="AA15" s="388" t="s">
        <v>359</v>
      </c>
      <c r="AB15" s="384" t="str">
        <f t="shared" ref="AB15" si="5">IF(AND(Z15="Preventivo",AA15="Automático"),"50%",IF(AND(Z15="Preventivo",AA15="Manual"),"40%",IF(AND(Z15="Detectivo",AA15="Automático"),"40%",IF(AND(Z15="Detectivo",AA15="Manual"),"30%",IF(AND(Z15="Correctivo",AA15="Automático"),"35%",IF(AND(Z15="Correctivo",AA15="Manual"),"25%",""))))))</f>
        <v>40%</v>
      </c>
      <c r="AC15" s="388" t="s">
        <v>360</v>
      </c>
      <c r="AD15" s="388" t="s">
        <v>361</v>
      </c>
      <c r="AE15" s="388" t="s">
        <v>362</v>
      </c>
      <c r="AF15" s="389">
        <f t="shared" ref="AF15" si="6">IFERROR(IF(Y15="Probabilidad",(Q15-(+Q15*AB15)),IF(Y15="Impacto",Q15,"")),"")</f>
        <v>0.24</v>
      </c>
      <c r="AG15" s="390" t="str">
        <f t="shared" ref="AG15" si="7">IFERROR(IF(AF15="","",IF(AF15&lt;=0.2,"Muy Baja",IF(AF15&lt;=0.4,"Baja",IF(AF15&lt;=0.6,"Media",IF(AF15&lt;=0.8,"Alta","Muy Alta"))))),"")</f>
        <v>Baja</v>
      </c>
      <c r="AH15" s="384">
        <f t="shared" ref="AH15" si="8">+AF15</f>
        <v>0.24</v>
      </c>
      <c r="AI15" s="390" t="str">
        <f>IFERROR(IF(AJ15="","",IF(AJ15&lt;=0.2,"Leve",IF(AJ15&lt;=0.4,"Menor",IF(AJ15&lt;=0.6,"Moderado",IF(AJ15&lt;=0.8,"Mayor","Catastrófico"))))),"")</f>
        <v>Leve</v>
      </c>
      <c r="AJ15" s="384">
        <f t="shared" ref="AJ15" si="9">IFERROR(IF(Y15="Impacto",(U15-(+U15*AB15)),IF(Y15="Probabilidad",U15,"")),"")</f>
        <v>0.2</v>
      </c>
      <c r="AK15" s="390" t="str">
        <f t="shared" ref="AK15" si="10">IFERROR(IF(OR(AND(AG15="Muy Baja",AI15="Leve"),AND(AG15="Muy Baja",AI15="Menor"),AND(AG15="Baja",AI15="Leve")),"Bajo",IF(OR(AND(AG15="Muy baja",AI15="Moderado"),AND(AG15="Baja",AI15="Menor"),AND(AG15="Baja",AI15="Moderado"),AND(AG15="Media",AI15="Leve"),AND(AG15="Media",AI15="Menor"),AND(AG15="Media",AI15="Moderado"),AND(AG15="Alta",AI15="Leve"),AND(AG15="Alta",AI15="Menor")),"Moderado",IF(OR(AND(AG15="Muy Baja",AI15="Mayor"),AND(AG15="Baja",AI15="Mayor"),AND(AG15="Media",AI15="Mayor"),AND(AG15="Alta",AI15="Moderado"),AND(AG15="Alta",AI15="Mayor"),AND(AG15="Muy Alta",AI15="Leve"),AND(AG15="Muy Alta",AI15="Menor"),AND(AG15="Muy Alta",AI15="Moderado"),AND(AG15="Muy Alta",AI15="Mayor")),"Alto",IF(OR(AND(AG15="Muy Baja",AI15="Catastrófico"),AND(AG15="Baja",AI15="Catastrófico"),AND(AG15="Media",AI15="Catastrófico"),AND(AG15="Alta",AI15="Catastrófico"),AND(AG15="Muy Alta",AI15="Catastrófico")),"Extremo","")))),"")</f>
        <v>Bajo</v>
      </c>
      <c r="AL15" s="388" t="s">
        <v>363</v>
      </c>
      <c r="AM15" s="391" t="s">
        <v>364</v>
      </c>
      <c r="AN15" s="382" t="s">
        <v>365</v>
      </c>
      <c r="AO15" s="392">
        <v>44927</v>
      </c>
      <c r="AP15" s="392">
        <v>45291</v>
      </c>
      <c r="AQ15" s="393" t="s">
        <v>366</v>
      </c>
      <c r="AR15" s="393" t="s">
        <v>367</v>
      </c>
      <c r="AS15" s="392" t="s">
        <v>368</v>
      </c>
      <c r="AT15" s="394">
        <v>0.9</v>
      </c>
      <c r="AU15" s="395"/>
      <c r="AV15" s="211"/>
      <c r="AW15" s="23"/>
    </row>
    <row r="16" spans="1:290" s="5" customFormat="1" ht="150" hidden="1" customHeight="1" thickBot="1" x14ac:dyDescent="0.35">
      <c r="A16" s="623"/>
      <c r="B16" s="623"/>
      <c r="C16" s="623"/>
      <c r="D16" s="524" t="s">
        <v>345</v>
      </c>
      <c r="E16" s="623"/>
      <c r="F16" s="666"/>
      <c r="G16" s="666"/>
      <c r="H16" s="158" t="s">
        <v>23</v>
      </c>
      <c r="I16" s="430" t="s">
        <v>369</v>
      </c>
      <c r="J16" s="380" t="s">
        <v>370</v>
      </c>
      <c r="K16" s="380" t="s">
        <v>8</v>
      </c>
      <c r="L16" s="380" t="s">
        <v>352</v>
      </c>
      <c r="M16" s="381" t="s">
        <v>371</v>
      </c>
      <c r="N16" s="382" t="s">
        <v>354</v>
      </c>
      <c r="O16" s="382">
        <v>12</v>
      </c>
      <c r="P16" s="383" t="str">
        <f t="shared" si="0"/>
        <v>Baja</v>
      </c>
      <c r="Q16" s="384">
        <f t="shared" si="1"/>
        <v>0.4</v>
      </c>
      <c r="R16" s="385" t="s">
        <v>355</v>
      </c>
      <c r="S16" s="386" t="str">
        <f>IF(NOT(ISERROR(MATCH(R16,'Tabla Impacto'!$B$221:$B$223,0))),'Tabla Impacto'!$F$223&amp;"Por favor no seleccionar los criterios de impacto(Afectación Económica o presupuestal y Pérdida Reputacional)",R16)</f>
        <v xml:space="preserve">     El riesgo afecta la imagen de alguna área de la organización</v>
      </c>
      <c r="T16" s="383" t="str">
        <f>IF(OR(S16='Tabla Impacto'!$C$11,S16='Tabla Impacto'!$D$11),"Leve",IF(OR(S16='Tabla Impacto'!$C$12,S16='Tabla Impacto'!$D$12),"Menor",IF(OR(S16='Tabla Impacto'!$C$13,S16='Tabla Impacto'!$D$13),"Moderado",IF(OR(S16='Tabla Impacto'!$C$14,S16='Tabla Impacto'!$D$14),"Mayor",IF(OR(S16='Tabla Impacto'!$C$15,S16='Tabla Impacto'!$D$15),"Catastrófico","")))))</f>
        <v>Leve</v>
      </c>
      <c r="U16" s="386">
        <f t="shared" si="2"/>
        <v>0.2</v>
      </c>
      <c r="V16" s="383" t="str">
        <f t="shared" si="3"/>
        <v>Bajo</v>
      </c>
      <c r="W16" s="381" t="s">
        <v>372</v>
      </c>
      <c r="X16" s="399" t="s">
        <v>373</v>
      </c>
      <c r="Y16" s="387" t="str">
        <f t="shared" ref="Y16:Y28" si="11">IF(OR(Z16="Preventivo",Z16="Detectivo"),"Probabilidad",IF(Z16="Correctivo","Impacto",""))</f>
        <v>Probabilidad</v>
      </c>
      <c r="Z16" s="388" t="s">
        <v>358</v>
      </c>
      <c r="AA16" s="388" t="s">
        <v>359</v>
      </c>
      <c r="AB16" s="384" t="str">
        <f t="shared" ref="AB16" si="12">IF(AND(Z16="Preventivo",AA16="Automático"),"50%",IF(AND(Z16="Preventivo",AA16="Manual"),"40%",IF(AND(Z16="Detectivo",AA16="Automático"),"40%",IF(AND(Z16="Detectivo",AA16="Manual"),"30%",IF(AND(Z16="Correctivo",AA16="Automático"),"35%",IF(AND(Z16="Correctivo",AA16="Manual"),"25%",""))))))</f>
        <v>40%</v>
      </c>
      <c r="AC16" s="388" t="s">
        <v>360</v>
      </c>
      <c r="AD16" s="388" t="s">
        <v>361</v>
      </c>
      <c r="AE16" s="388" t="s">
        <v>362</v>
      </c>
      <c r="AF16" s="389">
        <f t="shared" ref="AF16" si="13">IFERROR(IF(Y16="Probabilidad",(Q16-(+Q16*AB16)),IF(Y16="Impacto",Q16,"")),"")</f>
        <v>0.24</v>
      </c>
      <c r="AG16" s="390" t="str">
        <f t="shared" ref="AG16" si="14">IFERROR(IF(AF16="","",IF(AF16&lt;=0.2,"Muy Baja",IF(AF16&lt;=0.4,"Baja",IF(AF16&lt;=0.6,"Media",IF(AF16&lt;=0.8,"Alta","Muy Alta"))))),"")</f>
        <v>Baja</v>
      </c>
      <c r="AH16" s="384">
        <f t="shared" ref="AH16" si="15">+AF16</f>
        <v>0.24</v>
      </c>
      <c r="AI16" s="390" t="str">
        <f t="shared" ref="AI16" si="16">IFERROR(IF(AJ16="","",IF(AJ16&lt;=0.2,"Leve",IF(AJ16&lt;=0.4,"Menor",IF(AJ16&lt;=0.6,"Moderado",IF(AJ16&lt;=0.8,"Mayor","Catastrófico"))))),"")</f>
        <v>Leve</v>
      </c>
      <c r="AJ16" s="384">
        <f t="shared" ref="AJ16" si="17">IFERROR(IF(Y16="Impacto",(U16-(+U16*AB16)),IF(Y16="Probabilidad",U16,"")),"")</f>
        <v>0.2</v>
      </c>
      <c r="AK16" s="390" t="str">
        <f t="shared" ref="AK16" si="18">IFERROR(IF(OR(AND(AG16="Muy Baja",AI16="Leve"),AND(AG16="Muy Baja",AI16="Menor"),AND(AG16="Baja",AI16="Leve")),"Bajo",IF(OR(AND(AG16="Muy baja",AI16="Moderado"),AND(AG16="Baja",AI16="Menor"),AND(AG16="Baja",AI16="Moderado"),AND(AG16="Media",AI16="Leve"),AND(AG16="Media",AI16="Menor"),AND(AG16="Media",AI16="Moderado"),AND(AG16="Alta",AI16="Leve"),AND(AG16="Alta",AI16="Menor")),"Moderado",IF(OR(AND(AG16="Muy Baja",AI16="Mayor"),AND(AG16="Baja",AI16="Mayor"),AND(AG16="Media",AI16="Mayor"),AND(AG16="Alta",AI16="Moderado"),AND(AG16="Alta",AI16="Mayor"),AND(AG16="Muy Alta",AI16="Leve"),AND(AG16="Muy Alta",AI16="Menor"),AND(AG16="Muy Alta",AI16="Moderado"),AND(AG16="Muy Alta",AI16="Mayor")),"Alto",IF(OR(AND(AG16="Muy Baja",AI16="Catastrófico"),AND(AG16="Baja",AI16="Catastrófico"),AND(AG16="Media",AI16="Catastrófico"),AND(AG16="Alta",AI16="Catastrófico"),AND(AG16="Muy Alta",AI16="Catastrófico")),"Extremo","")))),"")</f>
        <v>Bajo</v>
      </c>
      <c r="AL16" s="388" t="s">
        <v>363</v>
      </c>
      <c r="AM16" s="396" t="s">
        <v>374</v>
      </c>
      <c r="AN16" s="382" t="s">
        <v>365</v>
      </c>
      <c r="AO16" s="392">
        <v>44927</v>
      </c>
      <c r="AP16" s="392">
        <v>45291</v>
      </c>
      <c r="AQ16" s="393" t="s">
        <v>366</v>
      </c>
      <c r="AR16" s="393" t="s">
        <v>375</v>
      </c>
      <c r="AS16" s="392" t="s">
        <v>368</v>
      </c>
      <c r="AT16" s="394">
        <v>0.8</v>
      </c>
      <c r="AU16" s="397"/>
      <c r="AV16" s="211"/>
      <c r="AW16" s="23"/>
    </row>
    <row r="17" spans="1:77" s="5" customFormat="1" ht="147.75" hidden="1" customHeight="1" x14ac:dyDescent="0.3">
      <c r="A17" s="659" t="s">
        <v>342</v>
      </c>
      <c r="B17" s="659" t="s">
        <v>376</v>
      </c>
      <c r="C17" s="659" t="s">
        <v>377</v>
      </c>
      <c r="D17" s="524" t="s">
        <v>345</v>
      </c>
      <c r="E17" s="659" t="s">
        <v>346</v>
      </c>
      <c r="F17" s="634" t="s">
        <v>347</v>
      </c>
      <c r="G17" s="634" t="s">
        <v>378</v>
      </c>
      <c r="H17" s="158" t="s">
        <v>349</v>
      </c>
      <c r="I17" s="661" t="s">
        <v>379</v>
      </c>
      <c r="J17" s="668" t="s">
        <v>351</v>
      </c>
      <c r="K17" s="668" t="s">
        <v>8</v>
      </c>
      <c r="L17" s="668" t="s">
        <v>8</v>
      </c>
      <c r="M17" s="158" t="s">
        <v>353</v>
      </c>
      <c r="N17" s="382" t="s">
        <v>354</v>
      </c>
      <c r="O17" s="382">
        <v>100</v>
      </c>
      <c r="P17" s="383" t="str">
        <f t="shared" si="0"/>
        <v>Media</v>
      </c>
      <c r="Q17" s="384">
        <f t="shared" si="1"/>
        <v>0.6</v>
      </c>
      <c r="R17" s="385" t="s">
        <v>380</v>
      </c>
      <c r="S17" s="386" t="str">
        <f>IF(NOT(ISERROR(MATCH(R17,'Tabla Impacto'!$B$221:$B$223,0))),'Tabla Impacto'!$F$223&amp;"Por favor no seleccionar los criterios de impacto(Afectación Económica o presupuestal y Pérdida Reputacional)",R17)</f>
        <v xml:space="preserve">     El riesgo afecta la imagen de la entidad a nivel nacional, con efecto publicitarios sostenible a nivel país</v>
      </c>
      <c r="T17" s="383" t="str">
        <f>IF(OR(S17='Tabla Impacto'!$C$11,S17='Tabla Impacto'!$D$11),"Leve",IF(OR(S17='Tabla Impacto'!$C$12,S17='Tabla Impacto'!$D$12),"Menor",IF(OR(S17='Tabla Impacto'!$C$13,S17='Tabla Impacto'!$D$13),"Moderado",IF(OR(S17='Tabla Impacto'!$C$14,S17='Tabla Impacto'!$D$14),"Mayor",IF(OR(S17='Tabla Impacto'!$C$15,S17='Tabla Impacto'!$D$15),"Catastrófico","")))))</f>
        <v>Catastrófico</v>
      </c>
      <c r="U17" s="384">
        <f t="shared" si="2"/>
        <v>1</v>
      </c>
      <c r="V17" s="383" t="str">
        <f t="shared" si="3"/>
        <v>Extremo</v>
      </c>
      <c r="W17" s="381" t="s">
        <v>356</v>
      </c>
      <c r="X17" s="405" t="s">
        <v>381</v>
      </c>
      <c r="Y17" s="406" t="str">
        <f t="shared" si="11"/>
        <v>Probabilidad</v>
      </c>
      <c r="Z17" s="388" t="s">
        <v>358</v>
      </c>
      <c r="AA17" s="388" t="s">
        <v>359</v>
      </c>
      <c r="AB17" s="384" t="str">
        <f t="shared" ref="AB17:AB21" si="19">IF(AND(Z17="Preventivo",AA17="Automático"),"50%",IF(AND(Z17="Preventivo",AA17="Manual"),"40%",IF(AND(Z17="Detectivo",AA17="Automático"),"40%",IF(AND(Z17="Detectivo",AA17="Manual"),"30%",IF(AND(Z17="Correctivo",AA17="Automático"),"35%",IF(AND(Z17="Correctivo",AA17="Manual"),"25%",""))))))</f>
        <v>40%</v>
      </c>
      <c r="AC17" s="388" t="s">
        <v>360</v>
      </c>
      <c r="AD17" s="388" t="s">
        <v>361</v>
      </c>
      <c r="AE17" s="388" t="s">
        <v>362</v>
      </c>
      <c r="AF17" s="389">
        <f t="shared" ref="AF17:AF21" si="20">IFERROR(IF(Y17="Probabilidad",(Q17-(+Q17*AB17)),IF(Y17="Impacto",Q17,"")),"")</f>
        <v>0.36</v>
      </c>
      <c r="AG17" s="390" t="str">
        <f t="shared" ref="AG17:AG21" si="21">IFERROR(IF(AF17="","",IF(AF17&lt;=0.2,"Muy Baja",IF(AF17&lt;=0.4,"Baja",IF(AF17&lt;=0.6,"Media",IF(AF17&lt;=0.8,"Alta","Muy Alta"))))),"")</f>
        <v>Baja</v>
      </c>
      <c r="AH17" s="384">
        <f t="shared" ref="AH17:AH21" si="22">+AF17</f>
        <v>0.36</v>
      </c>
      <c r="AI17" s="390" t="str">
        <f t="shared" ref="AI17:AI21" si="23">IFERROR(IF(AJ17="","",IF(AJ17&lt;=0.2,"Leve",IF(AJ17&lt;=0.4,"Menor",IF(AJ17&lt;=0.6,"Moderado",IF(AJ17&lt;=0.8,"Mayor","Catastrófico"))))),"")</f>
        <v>Catastrófico</v>
      </c>
      <c r="AJ17" s="384">
        <f t="shared" ref="AJ17:AJ21" si="24">IFERROR(IF(Y17="Impacto",(U17-(+U17*AB17)),IF(Y17="Probabilidad",U17,"")),"")</f>
        <v>1</v>
      </c>
      <c r="AK17" s="390" t="str">
        <f t="shared" ref="AK17:AK21" si="25">IFERROR(IF(OR(AND(AG17="Muy Baja",AI17="Leve"),AND(AG17="Muy Baja",AI17="Menor"),AND(AG17="Baja",AI17="Leve")),"Bajo",IF(OR(AND(AG17="Muy baja",AI17="Moderado"),AND(AG17="Baja",AI17="Menor"),AND(AG17="Baja",AI17="Moderado"),AND(AG17="Media",AI17="Leve"),AND(AG17="Media",AI17="Menor"),AND(AG17="Media",AI17="Moderado"),AND(AG17="Alta",AI17="Leve"),AND(AG17="Alta",AI17="Menor")),"Moderado",IF(OR(AND(AG17="Muy Baja",AI17="Mayor"),AND(AG17="Baja",AI17="Mayor"),AND(AG17="Media",AI17="Mayor"),AND(AG17="Alta",AI17="Moderado"),AND(AG17="Alta",AI17="Mayor"),AND(AG17="Muy Alta",AI17="Leve"),AND(AG17="Muy Alta",AI17="Menor"),AND(AG17="Muy Alta",AI17="Moderado"),AND(AG17="Muy Alta",AI17="Mayor")),"Alto",IF(OR(AND(AG17="Muy Baja",AI17="Catastrófico"),AND(AG17="Baja",AI17="Catastrófico"),AND(AG17="Media",AI17="Catastrófico"),AND(AG17="Alta",AI17="Catastrófico"),AND(AG17="Muy Alta",AI17="Catastrófico")),"Extremo","")))),"")</f>
        <v>Extremo</v>
      </c>
      <c r="AL17" s="388" t="s">
        <v>363</v>
      </c>
      <c r="AM17" s="396" t="s">
        <v>382</v>
      </c>
      <c r="AN17" s="382" t="s">
        <v>383</v>
      </c>
      <c r="AO17" s="392">
        <v>44927</v>
      </c>
      <c r="AP17" s="392">
        <v>45291</v>
      </c>
      <c r="AQ17" s="407" t="s">
        <v>384</v>
      </c>
      <c r="AR17" s="382" t="s">
        <v>385</v>
      </c>
      <c r="AS17" s="408" t="s">
        <v>368</v>
      </c>
      <c r="AT17" s="394" t="s">
        <v>386</v>
      </c>
      <c r="AU17" s="211"/>
      <c r="AV17" s="211"/>
      <c r="AW17" s="23"/>
    </row>
    <row r="18" spans="1:77" s="5" customFormat="1" ht="151.5" hidden="1" customHeight="1" thickBot="1" x14ac:dyDescent="0.35">
      <c r="A18" s="660"/>
      <c r="B18" s="660"/>
      <c r="C18" s="660"/>
      <c r="D18" s="524" t="s">
        <v>345</v>
      </c>
      <c r="E18" s="660"/>
      <c r="F18" s="635"/>
      <c r="G18" s="635"/>
      <c r="H18" s="409" t="s">
        <v>23</v>
      </c>
      <c r="I18" s="662"/>
      <c r="J18" s="669"/>
      <c r="K18" s="669"/>
      <c r="L18" s="669"/>
      <c r="M18" s="410" t="s">
        <v>387</v>
      </c>
      <c r="N18" s="411" t="s">
        <v>354</v>
      </c>
      <c r="O18" s="411">
        <v>100</v>
      </c>
      <c r="P18" s="412" t="str">
        <f t="shared" si="0"/>
        <v>Media</v>
      </c>
      <c r="Q18" s="413">
        <f t="shared" si="1"/>
        <v>0.6</v>
      </c>
      <c r="R18" s="385" t="s">
        <v>388</v>
      </c>
      <c r="S18" s="414" t="str">
        <f>IF(NOT(ISERROR(MATCH(R18,'Tabla Impacto'!$B$221:$B$223,0))),'Tabla Impacto'!$F$223&amp;"Por favor no seleccionar los criterios de impacto(Afectación Económica o presupuestal y Pérdida Reputacional)",R18)</f>
        <v xml:space="preserve">     El riesgo afecta la imagen de la entidad con algunos usuarios de relevancia frente al logro de los objetivos</v>
      </c>
      <c r="T18" s="412" t="str">
        <f>IF(OR(S18='Tabla Impacto'!$C$11,S18='Tabla Impacto'!$D$11),"Leve",IF(OR(S18='Tabla Impacto'!$C$12,S18='Tabla Impacto'!$D$12),"Menor",IF(OR(S18='Tabla Impacto'!$C$13,S18='Tabla Impacto'!$D$13),"Moderado",IF(OR(S18='Tabla Impacto'!$C$14,S18='Tabla Impacto'!$D$14),"Mayor",IF(OR(S18='Tabla Impacto'!$C$15,S18='Tabla Impacto'!$D$15),"Catastrófico","")))))</f>
        <v>Moderado</v>
      </c>
      <c r="U18" s="413">
        <f t="shared" si="2"/>
        <v>0.6</v>
      </c>
      <c r="V18" s="412" t="str">
        <f t="shared" si="3"/>
        <v>Moderado</v>
      </c>
      <c r="W18" s="415" t="s">
        <v>389</v>
      </c>
      <c r="X18" s="416" t="s">
        <v>390</v>
      </c>
      <c r="Y18" s="417" t="str">
        <f t="shared" si="11"/>
        <v>Probabilidad</v>
      </c>
      <c r="Z18" s="418" t="s">
        <v>358</v>
      </c>
      <c r="AA18" s="418" t="s">
        <v>359</v>
      </c>
      <c r="AB18" s="413" t="str">
        <f t="shared" si="19"/>
        <v>40%</v>
      </c>
      <c r="AC18" s="418" t="s">
        <v>360</v>
      </c>
      <c r="AD18" s="418" t="s">
        <v>361</v>
      </c>
      <c r="AE18" s="418" t="s">
        <v>362</v>
      </c>
      <c r="AF18" s="419">
        <f t="shared" si="20"/>
        <v>0.36</v>
      </c>
      <c r="AG18" s="420" t="str">
        <f t="shared" si="21"/>
        <v>Baja</v>
      </c>
      <c r="AH18" s="413">
        <f t="shared" si="22"/>
        <v>0.36</v>
      </c>
      <c r="AI18" s="420" t="str">
        <f t="shared" si="23"/>
        <v>Moderado</v>
      </c>
      <c r="AJ18" s="413">
        <f t="shared" si="24"/>
        <v>0.6</v>
      </c>
      <c r="AK18" s="420" t="str">
        <f t="shared" si="25"/>
        <v>Moderado</v>
      </c>
      <c r="AL18" s="418" t="s">
        <v>363</v>
      </c>
      <c r="AM18" s="421" t="s">
        <v>391</v>
      </c>
      <c r="AN18" s="411" t="s">
        <v>383</v>
      </c>
      <c r="AO18" s="392">
        <v>44927</v>
      </c>
      <c r="AP18" s="392">
        <v>45291</v>
      </c>
      <c r="AQ18" s="422" t="s">
        <v>384</v>
      </c>
      <c r="AR18" s="411" t="s">
        <v>392</v>
      </c>
      <c r="AS18" s="423" t="s">
        <v>368</v>
      </c>
      <c r="AT18" s="424">
        <v>0.85</v>
      </c>
      <c r="AU18" s="211"/>
      <c r="AV18" s="211"/>
      <c r="AW18" s="23"/>
    </row>
    <row r="19" spans="1:77" ht="151.5" hidden="1" customHeight="1" x14ac:dyDescent="0.3">
      <c r="A19" s="653" t="s">
        <v>393</v>
      </c>
      <c r="B19" s="653" t="s">
        <v>376</v>
      </c>
      <c r="C19" s="653" t="s">
        <v>377</v>
      </c>
      <c r="D19" s="524" t="s">
        <v>345</v>
      </c>
      <c r="E19" s="653" t="s">
        <v>346</v>
      </c>
      <c r="F19" s="643" t="s">
        <v>347</v>
      </c>
      <c r="G19" s="643" t="s">
        <v>394</v>
      </c>
      <c r="H19" s="158" t="s">
        <v>16</v>
      </c>
      <c r="I19" s="644" t="s">
        <v>395</v>
      </c>
      <c r="J19" s="654" t="s">
        <v>396</v>
      </c>
      <c r="K19" s="654" t="s">
        <v>8</v>
      </c>
      <c r="L19" s="654" t="s">
        <v>8</v>
      </c>
      <c r="M19" s="158" t="s">
        <v>387</v>
      </c>
      <c r="N19" s="155" t="s">
        <v>354</v>
      </c>
      <c r="O19" s="155">
        <v>900</v>
      </c>
      <c r="P19" s="184" t="str">
        <f t="shared" si="0"/>
        <v>Alta</v>
      </c>
      <c r="Q19" s="185">
        <f t="shared" si="1"/>
        <v>0.8</v>
      </c>
      <c r="R19" s="143" t="s">
        <v>388</v>
      </c>
      <c r="S19" s="187" t="str">
        <f>IF(NOT(ISERROR(MATCH(R19,'Tabla Impacto'!$B$221:$B$223,0))),'Tabla Impacto'!$F$223&amp;"Por favor no seleccionar los criterios de impacto(Afectación Económica o presupuestal y Pérdida Reputacional)",R19)</f>
        <v xml:space="preserve">     El riesgo afecta la imagen de la entidad con algunos usuarios de relevancia frente al logro de los objetivos</v>
      </c>
      <c r="T19" s="184" t="str">
        <f>IF(OR(S19='Tabla Impacto'!$C$11,S19='Tabla Impacto'!$D$11),"Leve",IF(OR(S19='Tabla Impacto'!$C$12,S19='Tabla Impacto'!$D$12),"Menor",IF(OR(S19='Tabla Impacto'!$C$13,S19='Tabla Impacto'!$D$13),"Moderado",IF(OR(S19='Tabla Impacto'!$C$14,S19='Tabla Impacto'!$D$14),"Mayor",IF(OR(S19='Tabla Impacto'!$C$15,S19='Tabla Impacto'!$D$15),"Catastrófico","")))))</f>
        <v>Moderado</v>
      </c>
      <c r="U19" s="185">
        <f t="shared" si="2"/>
        <v>0.6</v>
      </c>
      <c r="V19" s="184" t="str">
        <f t="shared" si="3"/>
        <v>Alto</v>
      </c>
      <c r="W19" s="221" t="s">
        <v>397</v>
      </c>
      <c r="X19" s="350" t="s">
        <v>398</v>
      </c>
      <c r="Y19" s="222" t="str">
        <f t="shared" si="11"/>
        <v>Probabilidad</v>
      </c>
      <c r="Z19" s="223" t="s">
        <v>358</v>
      </c>
      <c r="AA19" s="223" t="s">
        <v>359</v>
      </c>
      <c r="AB19" s="185" t="str">
        <f t="shared" si="19"/>
        <v>40%</v>
      </c>
      <c r="AC19" s="223" t="s">
        <v>360</v>
      </c>
      <c r="AD19" s="223" t="s">
        <v>361</v>
      </c>
      <c r="AE19" s="223" t="s">
        <v>362</v>
      </c>
      <c r="AF19" s="224">
        <f t="shared" si="20"/>
        <v>0.48</v>
      </c>
      <c r="AG19" s="188" t="str">
        <f t="shared" si="21"/>
        <v>Media</v>
      </c>
      <c r="AH19" s="185">
        <f t="shared" si="22"/>
        <v>0.48</v>
      </c>
      <c r="AI19" s="188" t="str">
        <f t="shared" si="23"/>
        <v>Moderado</v>
      </c>
      <c r="AJ19" s="185">
        <f t="shared" si="24"/>
        <v>0.6</v>
      </c>
      <c r="AK19" s="188" t="str">
        <f t="shared" si="25"/>
        <v>Moderado</v>
      </c>
      <c r="AL19" s="223" t="s">
        <v>363</v>
      </c>
      <c r="AM19" s="189" t="s">
        <v>399</v>
      </c>
      <c r="AN19" s="182" t="s">
        <v>383</v>
      </c>
      <c r="AO19" s="392">
        <v>44927</v>
      </c>
      <c r="AP19" s="392">
        <v>45291</v>
      </c>
      <c r="AQ19" s="400" t="s">
        <v>400</v>
      </c>
      <c r="AR19" s="182" t="s">
        <v>401</v>
      </c>
      <c r="AS19" s="401" t="s">
        <v>368</v>
      </c>
      <c r="AT19" s="190">
        <v>0.8</v>
      </c>
      <c r="AU19" s="211"/>
      <c r="AV19" s="211"/>
      <c r="AW19" s="23"/>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row>
    <row r="20" spans="1:77" ht="218.25" hidden="1" customHeight="1" thickBot="1" x14ac:dyDescent="0.35">
      <c r="A20" s="603"/>
      <c r="B20" s="603"/>
      <c r="C20" s="603"/>
      <c r="D20" s="524" t="s">
        <v>345</v>
      </c>
      <c r="E20" s="603"/>
      <c r="F20" s="625"/>
      <c r="G20" s="625"/>
      <c r="H20" s="167" t="s">
        <v>23</v>
      </c>
      <c r="I20" s="617"/>
      <c r="J20" s="605"/>
      <c r="K20" s="605"/>
      <c r="L20" s="605"/>
      <c r="M20" s="191" t="s">
        <v>20</v>
      </c>
      <c r="N20" s="166" t="s">
        <v>354</v>
      </c>
      <c r="O20" s="166">
        <v>900</v>
      </c>
      <c r="P20" s="192" t="str">
        <f t="shared" si="0"/>
        <v>Alta</v>
      </c>
      <c r="Q20" s="193">
        <f t="shared" si="1"/>
        <v>0.8</v>
      </c>
      <c r="R20" s="143" t="s">
        <v>380</v>
      </c>
      <c r="S20" s="195" t="str">
        <f>IF(NOT(ISERROR(MATCH(R20,'Tabla Impacto'!$B$221:$B$223,0))),'Tabla Impacto'!$F$223&amp;"Por favor no seleccionar los criterios de impacto(Afectación Económica o presupuestal y Pérdida Reputacional)",R20)</f>
        <v xml:space="preserve">     El riesgo afecta la imagen de la entidad a nivel nacional, con efecto publicitarios sostenible a nivel país</v>
      </c>
      <c r="T20" s="192" t="str">
        <f>IF(OR(S20='Tabla Impacto'!$C$11,S20='Tabla Impacto'!$D$11),"Leve",IF(OR(S20='Tabla Impacto'!$C$12,S20='Tabla Impacto'!$D$12),"Menor",IF(OR(S20='Tabla Impacto'!$C$13,S20='Tabla Impacto'!$D$13),"Moderado",IF(OR(S20='Tabla Impacto'!$C$14,S20='Tabla Impacto'!$D$14),"Mayor",IF(OR(S20='Tabla Impacto'!$C$15,S20='Tabla Impacto'!$D$15),"Catastrófico","")))))</f>
        <v>Catastrófico</v>
      </c>
      <c r="U20" s="193">
        <f t="shared" si="2"/>
        <v>1</v>
      </c>
      <c r="V20" s="192" t="str">
        <f t="shared" si="3"/>
        <v>Extremo</v>
      </c>
      <c r="W20" s="165" t="s">
        <v>402</v>
      </c>
      <c r="X20" s="356" t="s">
        <v>403</v>
      </c>
      <c r="Y20" s="225" t="str">
        <f t="shared" si="11"/>
        <v>Probabilidad</v>
      </c>
      <c r="Z20" s="226" t="s">
        <v>358</v>
      </c>
      <c r="AA20" s="226" t="s">
        <v>359</v>
      </c>
      <c r="AB20" s="193" t="str">
        <f t="shared" si="19"/>
        <v>40%</v>
      </c>
      <c r="AC20" s="226" t="s">
        <v>360</v>
      </c>
      <c r="AD20" s="226" t="s">
        <v>361</v>
      </c>
      <c r="AE20" s="226" t="s">
        <v>362</v>
      </c>
      <c r="AF20" s="227">
        <f t="shared" si="20"/>
        <v>0.48</v>
      </c>
      <c r="AG20" s="198" t="str">
        <f t="shared" si="21"/>
        <v>Media</v>
      </c>
      <c r="AH20" s="193">
        <f t="shared" si="22"/>
        <v>0.48</v>
      </c>
      <c r="AI20" s="198" t="str">
        <f t="shared" si="23"/>
        <v>Catastrófico</v>
      </c>
      <c r="AJ20" s="193">
        <f t="shared" si="24"/>
        <v>1</v>
      </c>
      <c r="AK20" s="198" t="str">
        <f t="shared" si="25"/>
        <v>Extremo</v>
      </c>
      <c r="AL20" s="226" t="s">
        <v>363</v>
      </c>
      <c r="AM20" s="199" t="s">
        <v>404</v>
      </c>
      <c r="AN20" s="169" t="s">
        <v>383</v>
      </c>
      <c r="AO20" s="392">
        <v>44927</v>
      </c>
      <c r="AP20" s="392">
        <v>45291</v>
      </c>
      <c r="AQ20" s="402" t="s">
        <v>400</v>
      </c>
      <c r="AR20" s="403" t="s">
        <v>405</v>
      </c>
      <c r="AS20" s="404" t="s">
        <v>368</v>
      </c>
      <c r="AT20" s="200">
        <v>0.8</v>
      </c>
      <c r="AU20" s="211"/>
      <c r="AV20" s="211"/>
      <c r="AW20" s="23"/>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row>
    <row r="21" spans="1:77" ht="256.14999999999998" hidden="1" customHeight="1" thickBot="1" x14ac:dyDescent="0.35">
      <c r="A21" s="201" t="s">
        <v>406</v>
      </c>
      <c r="B21" s="201" t="s">
        <v>376</v>
      </c>
      <c r="C21" s="201" t="s">
        <v>377</v>
      </c>
      <c r="D21" s="524" t="s">
        <v>345</v>
      </c>
      <c r="E21" s="201" t="s">
        <v>346</v>
      </c>
      <c r="F21" s="202" t="s">
        <v>347</v>
      </c>
      <c r="G21" s="202" t="s">
        <v>378</v>
      </c>
      <c r="H21" s="203" t="s">
        <v>407</v>
      </c>
      <c r="I21" s="431" t="s">
        <v>408</v>
      </c>
      <c r="J21" s="204" t="s">
        <v>351</v>
      </c>
      <c r="K21" s="204" t="s">
        <v>76</v>
      </c>
      <c r="L21" s="204" t="s">
        <v>76</v>
      </c>
      <c r="M21" s="203" t="s">
        <v>409</v>
      </c>
      <c r="N21" s="202" t="s">
        <v>354</v>
      </c>
      <c r="O21" s="202">
        <v>100</v>
      </c>
      <c r="P21" s="205" t="str">
        <f t="shared" si="0"/>
        <v>Media</v>
      </c>
      <c r="Q21" s="206">
        <f t="shared" si="1"/>
        <v>0.6</v>
      </c>
      <c r="R21" s="143" t="s">
        <v>410</v>
      </c>
      <c r="S21" s="208" t="str">
        <f>IF(NOT(ISERROR(MATCH(R21,'Tabla Impacto'!$B$221:$B$223,0))),'Tabla Impacto'!$F$223&amp;"Por favor no seleccionar los criterios de impacto(Afectación Económica o presupuestal y Pérdida Reputacional)",R21)</f>
        <v xml:space="preserve">     El riesgo afecta la imagen de la entidad internamente, de conocimiento general, nivel interno, de junta directiva y accionistas y/o de proveedores</v>
      </c>
      <c r="T21" s="205" t="str">
        <f>IF(OR(S21='Tabla Impacto'!$C$11,S21='Tabla Impacto'!$D$11),"Leve",IF(OR(S21='Tabla Impacto'!$C$12,S21='Tabla Impacto'!$D$12),"Menor",IF(OR(S21='Tabla Impacto'!$C$13,S21='Tabla Impacto'!$D$13),"Moderado",IF(OR(S21='Tabla Impacto'!$C$14,S21='Tabla Impacto'!$D$14),"Mayor",IF(OR(S21='Tabla Impacto'!$C$15,S21='Tabla Impacto'!$D$15),"Catastrófico","")))))</f>
        <v/>
      </c>
      <c r="U21" s="206" t="str">
        <f t="shared" si="2"/>
        <v/>
      </c>
      <c r="V21" s="205" t="str">
        <f t="shared" si="3"/>
        <v/>
      </c>
      <c r="W21" s="201" t="s">
        <v>411</v>
      </c>
      <c r="X21" s="209" t="s">
        <v>412</v>
      </c>
      <c r="Y21" s="228" t="str">
        <f t="shared" si="11"/>
        <v>Probabilidad</v>
      </c>
      <c r="Z21" s="229" t="s">
        <v>358</v>
      </c>
      <c r="AA21" s="229" t="s">
        <v>359</v>
      </c>
      <c r="AB21" s="206" t="str">
        <f t="shared" si="19"/>
        <v>40%</v>
      </c>
      <c r="AC21" s="229" t="s">
        <v>360</v>
      </c>
      <c r="AD21" s="229" t="s">
        <v>361</v>
      </c>
      <c r="AE21" s="229" t="s">
        <v>362</v>
      </c>
      <c r="AF21" s="230">
        <f t="shared" si="20"/>
        <v>0.36</v>
      </c>
      <c r="AG21" s="210" t="str">
        <f t="shared" si="21"/>
        <v>Baja</v>
      </c>
      <c r="AH21" s="206">
        <f t="shared" si="22"/>
        <v>0.36</v>
      </c>
      <c r="AI21" s="210" t="str">
        <f t="shared" si="23"/>
        <v/>
      </c>
      <c r="AJ21" s="206" t="str">
        <f t="shared" si="24"/>
        <v/>
      </c>
      <c r="AK21" s="210" t="str">
        <f t="shared" si="25"/>
        <v/>
      </c>
      <c r="AL21" s="229" t="s">
        <v>363</v>
      </c>
      <c r="AM21" s="204" t="s">
        <v>413</v>
      </c>
      <c r="AN21" s="169" t="s">
        <v>414</v>
      </c>
      <c r="AO21" s="392">
        <v>44927</v>
      </c>
      <c r="AP21" s="392">
        <v>45291</v>
      </c>
      <c r="AQ21" s="218" t="s">
        <v>415</v>
      </c>
      <c r="AR21" s="425" t="s">
        <v>416</v>
      </c>
      <c r="AS21" s="404" t="s">
        <v>368</v>
      </c>
      <c r="AT21" s="200">
        <v>0.9</v>
      </c>
      <c r="AU21" s="211"/>
      <c r="AV21" s="211"/>
      <c r="AW21" s="23"/>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row>
    <row r="22" spans="1:77" ht="288" hidden="1" customHeight="1" thickBot="1" x14ac:dyDescent="0.35">
      <c r="A22" s="232" t="s">
        <v>342</v>
      </c>
      <c r="B22" s="201" t="s">
        <v>417</v>
      </c>
      <c r="C22" s="201" t="s">
        <v>418</v>
      </c>
      <c r="D22" s="524" t="s">
        <v>345</v>
      </c>
      <c r="E22" s="201" t="s">
        <v>346</v>
      </c>
      <c r="F22" s="202" t="s">
        <v>347</v>
      </c>
      <c r="G22" s="202" t="s">
        <v>419</v>
      </c>
      <c r="H22" s="216" t="s">
        <v>24</v>
      </c>
      <c r="I22" s="431" t="s">
        <v>420</v>
      </c>
      <c r="J22" s="204" t="s">
        <v>370</v>
      </c>
      <c r="K22" s="204" t="s">
        <v>8</v>
      </c>
      <c r="L22" s="204" t="s">
        <v>8</v>
      </c>
      <c r="M22" s="191" t="s">
        <v>20</v>
      </c>
      <c r="N22" s="202" t="s">
        <v>354</v>
      </c>
      <c r="O22" s="202">
        <v>100</v>
      </c>
      <c r="P22" s="205" t="str">
        <f t="shared" si="0"/>
        <v>Media</v>
      </c>
      <c r="Q22" s="206">
        <f t="shared" si="1"/>
        <v>0.6</v>
      </c>
      <c r="R22" s="143" t="s">
        <v>388</v>
      </c>
      <c r="S22" s="208" t="str">
        <f>IF(NOT(ISERROR(MATCH(R22,'Tabla Impacto'!$B$221:$B$223,0))),'Tabla Impacto'!$F$223&amp;"Por favor no seleccionar los criterios de impacto(Afectación Económica o presupuestal y Pérdida Reputacional)",R22)</f>
        <v xml:space="preserve">     El riesgo afecta la imagen de la entidad con algunos usuarios de relevancia frente al logro de los objetivos</v>
      </c>
      <c r="T22" s="205" t="str">
        <f>IF(OR(S22='Tabla Impacto'!$C$11,S22='Tabla Impacto'!$D$11),"Leve",IF(OR(S22='Tabla Impacto'!$C$12,S22='Tabla Impacto'!$D$12),"Menor",IF(OR(S22='Tabla Impacto'!$C$13,S22='Tabla Impacto'!$D$13),"Moderado",IF(OR(S22='Tabla Impacto'!$C$14,S22='Tabla Impacto'!$D$14),"Mayor",IF(OR(S22='Tabla Impacto'!$C$15,S22='Tabla Impacto'!$D$15),"Catastrófico","")))))</f>
        <v>Moderado</v>
      </c>
      <c r="U22" s="206">
        <f t="shared" si="2"/>
        <v>0.6</v>
      </c>
      <c r="V22" s="205" t="str">
        <f t="shared" si="3"/>
        <v>Moderado</v>
      </c>
      <c r="W22" s="201" t="s">
        <v>356</v>
      </c>
      <c r="X22" s="209" t="s">
        <v>421</v>
      </c>
      <c r="Y22" s="228" t="str">
        <f t="shared" si="11"/>
        <v>Probabilidad</v>
      </c>
      <c r="Z22" s="229" t="s">
        <v>358</v>
      </c>
      <c r="AA22" s="229" t="s">
        <v>359</v>
      </c>
      <c r="AB22" s="206" t="str">
        <f>IF(AND(Z22="Preventivo",AA22="Automático"),"50%",IF(AND(Z22="Preventivo",AA22="Manual"),"40%",IF(AND(Z22="Detectivo",AA22="Automático"),"40%",IF(AND(Z22="Detectivo",AA22="Manual"),"30%",IF(AND(Z22="Correctivo",AA22="Automático"),"35%",IF(AND(Z22="Correctivo",AA22="Manual"),"25%",""))))))</f>
        <v>40%</v>
      </c>
      <c r="AC22" s="229" t="s">
        <v>360</v>
      </c>
      <c r="AD22" s="229" t="s">
        <v>361</v>
      </c>
      <c r="AE22" s="229" t="s">
        <v>362</v>
      </c>
      <c r="AF22" s="230">
        <f>IFERROR(IF(Y22="Probabilidad",(Q22-(+Q22*AB22)),IF(Y22="Impacto",Q22,"")),"")</f>
        <v>0.36</v>
      </c>
      <c r="AG22" s="210" t="str">
        <f>IFERROR(IF(AF22="","",IF(AF22&lt;=0.2,"Muy Baja",IF(AF22&lt;=0.4,"Baja",IF(AF22&lt;=0.6,"Media",IF(AF22&lt;=0.8,"Alta","Muy Alta"))))),"")</f>
        <v>Baja</v>
      </c>
      <c r="AH22" s="206">
        <f>+AF22</f>
        <v>0.36</v>
      </c>
      <c r="AI22" s="210" t="str">
        <f>IFERROR(IF(AJ22="","",IF(AJ22&lt;=0.2,"Leve",IF(AJ22&lt;=0.4,"Menor",IF(AJ22&lt;=0.6,"Moderado",IF(AJ22&lt;=0.8,"Mayor","Catastrófico"))))),"")</f>
        <v>Moderado</v>
      </c>
      <c r="AJ22" s="206">
        <f>IFERROR(IF(Y22="Impacto",(U22-(+U22*AB22)),IF(Y22="Probabilidad",U22,"")),"")</f>
        <v>0.6</v>
      </c>
      <c r="AK22" s="210" t="str">
        <f>IFERROR(IF(OR(AND(AG22="Muy Baja",AI22="Leve"),AND(AG22="Muy Baja",AI22="Menor"),AND(AG22="Baja",AI22="Leve")),"Bajo",IF(OR(AND(AG22="Muy baja",AI22="Moderado"),AND(AG22="Baja",AI22="Menor"),AND(AG22="Baja",AI22="Moderado"),AND(AG22="Media",AI22="Leve"),AND(AG22="Media",AI22="Menor"),AND(AG22="Media",AI22="Moderado"),AND(AG22="Alta",AI22="Leve"),AND(AG22="Alta",AI22="Menor")),"Moderado",IF(OR(AND(AG22="Muy Baja",AI22="Mayor"),AND(AG22="Baja",AI22="Mayor"),AND(AG22="Media",AI22="Mayor"),AND(AG22="Alta",AI22="Moderado"),AND(AG22="Alta",AI22="Mayor"),AND(AG22="Muy Alta",AI22="Leve"),AND(AG22="Muy Alta",AI22="Menor"),AND(AG22="Muy Alta",AI22="Moderado"),AND(AG22="Muy Alta",AI22="Mayor")),"Alto",IF(OR(AND(AG22="Muy Baja",AI22="Catastrófico"),AND(AG22="Baja",AI22="Catastrófico"),AND(AG22="Media",AI22="Catastrófico"),AND(AG22="Alta",AI22="Catastrófico"),AND(AG22="Muy Alta",AI22="Catastrófico")),"Extremo","")))),"")</f>
        <v>Moderado</v>
      </c>
      <c r="AL22" s="233" t="s">
        <v>363</v>
      </c>
      <c r="AM22" s="202" t="s">
        <v>422</v>
      </c>
      <c r="AN22" s="202" t="s">
        <v>423</v>
      </c>
      <c r="AO22" s="392">
        <v>44927</v>
      </c>
      <c r="AP22" s="392">
        <v>45291</v>
      </c>
      <c r="AQ22" s="218" t="s">
        <v>415</v>
      </c>
      <c r="AR22" s="425" t="s">
        <v>424</v>
      </c>
      <c r="AS22" s="231" t="s">
        <v>368</v>
      </c>
      <c r="AT22" s="183">
        <v>0.9</v>
      </c>
      <c r="AU22" s="219"/>
      <c r="AV22" s="211"/>
      <c r="AW22" s="23"/>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row>
    <row r="23" spans="1:77" ht="237" hidden="1" customHeight="1" thickBot="1" x14ac:dyDescent="0.35">
      <c r="A23" s="234" t="s">
        <v>342</v>
      </c>
      <c r="B23" s="235" t="s">
        <v>425</v>
      </c>
      <c r="C23" s="235" t="s">
        <v>426</v>
      </c>
      <c r="D23" s="524" t="s">
        <v>345</v>
      </c>
      <c r="E23" s="236" t="s">
        <v>346</v>
      </c>
      <c r="F23" s="237" t="s">
        <v>347</v>
      </c>
      <c r="G23" s="238" t="s">
        <v>427</v>
      </c>
      <c r="H23" s="239" t="s">
        <v>9</v>
      </c>
      <c r="I23" s="432" t="s">
        <v>428</v>
      </c>
      <c r="J23" s="240" t="s">
        <v>429</v>
      </c>
      <c r="K23" s="241" t="s">
        <v>8</v>
      </c>
      <c r="L23" s="242" t="s">
        <v>8</v>
      </c>
      <c r="M23" s="243" t="s">
        <v>387</v>
      </c>
      <c r="N23" s="244" t="s">
        <v>354</v>
      </c>
      <c r="O23" s="151">
        <v>100</v>
      </c>
      <c r="P23" s="162" t="str">
        <f t="shared" si="0"/>
        <v>Media</v>
      </c>
      <c r="Q23" s="159">
        <f t="shared" si="1"/>
        <v>0.6</v>
      </c>
      <c r="R23" s="245" t="s">
        <v>380</v>
      </c>
      <c r="S23" s="246" t="str">
        <f>IF(NOT(ISERROR(MATCH(R23,'Tabla Impacto'!$B$221:$B$223,0))),'Tabla Impacto'!$F$223&amp;"Por favor no seleccionar los criterios de impacto(Afectación Económica o presupuestal y Pérdida Reputacional)",R23)</f>
        <v xml:space="preserve">     El riesgo afecta la imagen de la entidad a nivel nacional, con efecto publicitarios sostenible a nivel país</v>
      </c>
      <c r="T23" s="162" t="str">
        <f>IF(OR(S23='Tabla Impacto'!$C$11,S23='Tabla Impacto'!$D$11),"Leve",IF(OR(S23='Tabla Impacto'!$C$12,S23='Tabla Impacto'!$D$12),"Menor",IF(OR(S23='Tabla Impacto'!$C$13,S23='Tabla Impacto'!$D$13),"Moderado",IF(OR(S23='Tabla Impacto'!$C$14,S23='Tabla Impacto'!$D$14),"Mayor",IF(OR(S23='Tabla Impacto'!$C$15,S23='Tabla Impacto'!$D$15),"Catastrófico","")))))</f>
        <v>Catastrófico</v>
      </c>
      <c r="U23" s="159">
        <f t="shared" si="2"/>
        <v>1</v>
      </c>
      <c r="V23" s="160" t="str">
        <f t="shared" si="3"/>
        <v>Extremo</v>
      </c>
      <c r="W23" s="130" t="s">
        <v>430</v>
      </c>
      <c r="X23" s="215" t="s">
        <v>431</v>
      </c>
      <c r="Y23" s="247" t="str">
        <f t="shared" si="11"/>
        <v>Probabilidad</v>
      </c>
      <c r="Z23" s="122" t="s">
        <v>358</v>
      </c>
      <c r="AA23" s="122" t="s">
        <v>359</v>
      </c>
      <c r="AB23" s="123" t="str">
        <f t="shared" ref="AB23:AB28" si="26">IF(AND(Z23="Preventivo",AA23="Automático"),"50%",IF(AND(Z23="Preventivo",AA23="Manual"),"40%",IF(AND(Z23="Detectivo",AA23="Automático"),"40%",IF(AND(Z23="Detectivo",AA23="Manual"),"30%",IF(AND(Z23="Correctivo",AA23="Automático"),"35%",IF(AND(Z23="Correctivo",AA23="Manual"),"25%",""))))))</f>
        <v>40%</v>
      </c>
      <c r="AC23" s="122" t="s">
        <v>360</v>
      </c>
      <c r="AD23" s="122" t="s">
        <v>361</v>
      </c>
      <c r="AE23" s="122" t="s">
        <v>362</v>
      </c>
      <c r="AF23" s="124">
        <f t="shared" ref="AF23:AF28" si="27">IFERROR(IF(Y23="Probabilidad",(Q23-(+Q23*AB23)),IF(Y23="Impacto",Q23,"")),"")</f>
        <v>0.36</v>
      </c>
      <c r="AG23" s="125" t="str">
        <f t="shared" ref="AG23:AG28" si="28">IFERROR(IF(AF23="","",IF(AF23&lt;=0.2,"Muy Baja",IF(AF23&lt;=0.4,"Baja",IF(AF23&lt;=0.6,"Media",IF(AF23&lt;=0.8,"Alta","Muy Alta"))))),"")</f>
        <v>Baja</v>
      </c>
      <c r="AH23" s="126">
        <f t="shared" ref="AH23:AH28" si="29">+AF23</f>
        <v>0.36</v>
      </c>
      <c r="AI23" s="125" t="str">
        <f t="shared" ref="AI23:AI28" si="30">IFERROR(IF(AJ23="","",IF(AJ23&lt;=0.2,"Leve",IF(AJ23&lt;=0.4,"Menor",IF(AJ23&lt;=0.6,"Moderado",IF(AJ23&lt;=0.8,"Mayor","Catastrófico"))))),"")</f>
        <v>Catastrófico</v>
      </c>
      <c r="AJ23" s="126">
        <f t="shared" ref="AJ23:AJ28" si="31">IFERROR(IF(Y23="Impacto",(U23-(+U23*AB23)),IF(Y23="Probabilidad",U23,"")),"")</f>
        <v>1</v>
      </c>
      <c r="AK23" s="127" t="str">
        <f t="shared" ref="AK23:AK28" si="32">IFERROR(IF(OR(AND(AG23="Muy Baja",AI23="Leve"),AND(AG23="Muy Baja",AI23="Menor"),AND(AG23="Baja",AI23="Leve")),"Bajo",IF(OR(AND(AG23="Muy baja",AI23="Moderado"),AND(AG23="Baja",AI23="Menor"),AND(AG23="Baja",AI23="Moderado"),AND(AG23="Media",AI23="Leve"),AND(AG23="Media",AI23="Menor"),AND(AG23="Media",AI23="Moderado"),AND(AG23="Alta",AI23="Leve"),AND(AG23="Alta",AI23="Menor")),"Moderado",IF(OR(AND(AG23="Muy Baja",AI23="Mayor"),AND(AG23="Baja",AI23="Mayor"),AND(AG23="Media",AI23="Mayor"),AND(AG23="Alta",AI23="Moderado"),AND(AG23="Alta",AI23="Mayor"),AND(AG23="Muy Alta",AI23="Leve"),AND(AG23="Muy Alta",AI23="Menor"),AND(AG23="Muy Alta",AI23="Moderado"),AND(AG23="Muy Alta",AI23="Mayor")),"Alto",IF(OR(AND(AG23="Muy Baja",AI23="Catastrófico"),AND(AG23="Baja",AI23="Catastrófico"),AND(AG23="Media",AI23="Catastrófico"),AND(AG23="Alta",AI23="Catastrófico"),AND(AG23="Muy Alta",AI23="Catastrófico")),"Extremo","")))),"")</f>
        <v>Extremo</v>
      </c>
      <c r="AL23" s="128" t="s">
        <v>363</v>
      </c>
      <c r="AM23" s="129" t="s">
        <v>432</v>
      </c>
      <c r="AN23" s="129" t="s">
        <v>433</v>
      </c>
      <c r="AO23" s="392">
        <v>44927</v>
      </c>
      <c r="AP23" s="392">
        <v>45291</v>
      </c>
      <c r="AQ23" s="163" t="s">
        <v>434</v>
      </c>
      <c r="AR23" s="163" t="s">
        <v>435</v>
      </c>
      <c r="AS23" s="164" t="s">
        <v>368</v>
      </c>
      <c r="AT23" s="183">
        <v>1</v>
      </c>
      <c r="AU23" s="219"/>
      <c r="AV23" s="211"/>
      <c r="AW23" s="23"/>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row>
    <row r="24" spans="1:77" ht="145.9" hidden="1" customHeight="1" thickBot="1" x14ac:dyDescent="0.35">
      <c r="A24" s="626" t="s">
        <v>393</v>
      </c>
      <c r="B24" s="641" t="s">
        <v>425</v>
      </c>
      <c r="C24" s="641" t="s">
        <v>426</v>
      </c>
      <c r="D24" s="524" t="s">
        <v>345</v>
      </c>
      <c r="E24" s="641" t="s">
        <v>346</v>
      </c>
      <c r="F24" s="628" t="s">
        <v>347</v>
      </c>
      <c r="G24" s="645" t="s">
        <v>427</v>
      </c>
      <c r="H24" s="158" t="s">
        <v>349</v>
      </c>
      <c r="I24" s="432" t="s">
        <v>17</v>
      </c>
      <c r="J24" s="133" t="s">
        <v>351</v>
      </c>
      <c r="K24" s="248" t="s">
        <v>8</v>
      </c>
      <c r="L24" s="242" t="s">
        <v>8</v>
      </c>
      <c r="M24" s="249" t="s">
        <v>46</v>
      </c>
      <c r="N24" s="244" t="s">
        <v>354</v>
      </c>
      <c r="O24" s="151">
        <v>100</v>
      </c>
      <c r="P24" s="162" t="str">
        <f t="shared" si="0"/>
        <v>Media</v>
      </c>
      <c r="Q24" s="159">
        <f t="shared" si="1"/>
        <v>0.6</v>
      </c>
      <c r="R24" s="143" t="s">
        <v>388</v>
      </c>
      <c r="S24" s="246" t="str">
        <f>IF(NOT(ISERROR(MATCH(R24,'Tabla Impacto'!$B$221:$B$223,0))),'Tabla Impacto'!$F$223&amp;"Por favor no seleccionar los criterios de impacto(Afectación Económica o presupuestal y Pérdida Reputacional)",R24)</f>
        <v xml:space="preserve">     El riesgo afecta la imagen de la entidad con algunos usuarios de relevancia frente al logro de los objetivos</v>
      </c>
      <c r="T24" s="162" t="str">
        <f>IF(OR(S24='Tabla Impacto'!$C$11,S24='Tabla Impacto'!$D$11),"Leve",IF(OR(S24='Tabla Impacto'!$C$12,S24='Tabla Impacto'!$D$12),"Menor",IF(OR(S24='Tabla Impacto'!$C$13,S24='Tabla Impacto'!$D$13),"Moderado",IF(OR(S24='Tabla Impacto'!$C$14,S24='Tabla Impacto'!$D$14),"Mayor",IF(OR(S24='Tabla Impacto'!$C$15,S24='Tabla Impacto'!$D$15),"Catastrófico","")))))</f>
        <v>Moderado</v>
      </c>
      <c r="U24" s="159">
        <f t="shared" si="2"/>
        <v>0.6</v>
      </c>
      <c r="V24" s="160" t="str">
        <f t="shared" si="3"/>
        <v>Moderado</v>
      </c>
      <c r="W24" s="618" t="s">
        <v>411</v>
      </c>
      <c r="X24" s="209" t="s">
        <v>421</v>
      </c>
      <c r="Y24" s="247" t="str">
        <f t="shared" si="11"/>
        <v>Probabilidad</v>
      </c>
      <c r="Z24" s="122" t="s">
        <v>358</v>
      </c>
      <c r="AA24" s="122" t="s">
        <v>359</v>
      </c>
      <c r="AB24" s="123" t="str">
        <f t="shared" si="26"/>
        <v>40%</v>
      </c>
      <c r="AC24" s="122" t="s">
        <v>360</v>
      </c>
      <c r="AD24" s="122" t="s">
        <v>361</v>
      </c>
      <c r="AE24" s="122" t="s">
        <v>362</v>
      </c>
      <c r="AF24" s="124">
        <f t="shared" si="27"/>
        <v>0.36</v>
      </c>
      <c r="AG24" s="125" t="str">
        <f t="shared" si="28"/>
        <v>Baja</v>
      </c>
      <c r="AH24" s="126">
        <f t="shared" si="29"/>
        <v>0.36</v>
      </c>
      <c r="AI24" s="125" t="str">
        <f t="shared" si="30"/>
        <v>Moderado</v>
      </c>
      <c r="AJ24" s="126">
        <f t="shared" si="31"/>
        <v>0.6</v>
      </c>
      <c r="AK24" s="127" t="str">
        <f t="shared" si="32"/>
        <v>Moderado</v>
      </c>
      <c r="AL24" s="128" t="s">
        <v>363</v>
      </c>
      <c r="AM24" s="129" t="s">
        <v>413</v>
      </c>
      <c r="AN24" s="250" t="s">
        <v>436</v>
      </c>
      <c r="AO24" s="392">
        <v>44927</v>
      </c>
      <c r="AP24" s="392">
        <v>45291</v>
      </c>
      <c r="AQ24" s="312" t="s">
        <v>437</v>
      </c>
      <c r="AR24" s="251" t="s">
        <v>438</v>
      </c>
      <c r="AS24" s="140" t="s">
        <v>368</v>
      </c>
      <c r="AT24" s="183">
        <v>0.9</v>
      </c>
      <c r="AU24" s="219"/>
      <c r="AV24" s="211"/>
      <c r="AW24" s="23"/>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row>
    <row r="25" spans="1:77" ht="221.45" hidden="1" customHeight="1" thickBot="1" x14ac:dyDescent="0.35">
      <c r="A25" s="627"/>
      <c r="B25" s="642"/>
      <c r="C25" s="642"/>
      <c r="D25" s="524" t="s">
        <v>345</v>
      </c>
      <c r="E25" s="642"/>
      <c r="F25" s="621"/>
      <c r="G25" s="646"/>
      <c r="H25" s="253" t="s">
        <v>439</v>
      </c>
      <c r="I25" s="433" t="s">
        <v>18</v>
      </c>
      <c r="J25" s="254" t="s">
        <v>351</v>
      </c>
      <c r="K25" s="255" t="s">
        <v>76</v>
      </c>
      <c r="L25" s="256" t="s">
        <v>8</v>
      </c>
      <c r="M25" s="191" t="s">
        <v>440</v>
      </c>
      <c r="N25" s="257" t="s">
        <v>441</v>
      </c>
      <c r="O25" s="258">
        <v>100</v>
      </c>
      <c r="P25" s="259" t="str">
        <f t="shared" si="0"/>
        <v>Media</v>
      </c>
      <c r="Q25" s="260">
        <f t="shared" si="1"/>
        <v>0.6</v>
      </c>
      <c r="R25" s="143" t="s">
        <v>388</v>
      </c>
      <c r="S25" s="261" t="str">
        <f>IF(NOT(ISERROR(MATCH(R25,'Tabla Impacto'!$B$221:$B$223,0))),'Tabla Impacto'!$F$223&amp;"Por favor no seleccionar los criterios de impacto(Afectación Económica o presupuestal y Pérdida Reputacional)",R25)</f>
        <v xml:space="preserve">     El riesgo afecta la imagen de la entidad con algunos usuarios de relevancia frente al logro de los objetivos</v>
      </c>
      <c r="T25" s="259" t="str">
        <f>IF(OR(S25='Tabla Impacto'!$C$11,S25='Tabla Impacto'!$D$11),"Leve",IF(OR(S25='Tabla Impacto'!$C$12,S25='Tabla Impacto'!$D$12),"Menor",IF(OR(S25='Tabla Impacto'!$C$13,S25='Tabla Impacto'!$D$13),"Moderado",IF(OR(S25='Tabla Impacto'!$C$14,S25='Tabla Impacto'!$D$14),"Mayor",IF(OR(S25='Tabla Impacto'!$C$15,S25='Tabla Impacto'!$D$15),"Catastrófico","")))))</f>
        <v>Moderado</v>
      </c>
      <c r="U25" s="260">
        <f t="shared" si="2"/>
        <v>0.6</v>
      </c>
      <c r="V25" s="262" t="str">
        <f t="shared" si="3"/>
        <v>Moderado</v>
      </c>
      <c r="W25" s="619"/>
      <c r="X25" s="356" t="s">
        <v>442</v>
      </c>
      <c r="Y25" s="263" t="str">
        <f t="shared" si="11"/>
        <v>Probabilidad</v>
      </c>
      <c r="Z25" s="122" t="s">
        <v>358</v>
      </c>
      <c r="AA25" s="122" t="s">
        <v>359</v>
      </c>
      <c r="AB25" s="264" t="str">
        <f t="shared" si="26"/>
        <v>40%</v>
      </c>
      <c r="AC25" s="265" t="s">
        <v>360</v>
      </c>
      <c r="AD25" s="265" t="s">
        <v>361</v>
      </c>
      <c r="AE25" s="265" t="s">
        <v>362</v>
      </c>
      <c r="AF25" s="266">
        <f t="shared" si="27"/>
        <v>0.36</v>
      </c>
      <c r="AG25" s="267" t="str">
        <f t="shared" si="28"/>
        <v>Baja</v>
      </c>
      <c r="AH25" s="264">
        <f t="shared" si="29"/>
        <v>0.36</v>
      </c>
      <c r="AI25" s="267" t="str">
        <f t="shared" si="30"/>
        <v>Moderado</v>
      </c>
      <c r="AJ25" s="264">
        <f t="shared" si="31"/>
        <v>0.6</v>
      </c>
      <c r="AK25" s="268" t="str">
        <f t="shared" si="32"/>
        <v>Moderado</v>
      </c>
      <c r="AL25" s="265" t="s">
        <v>363</v>
      </c>
      <c r="AM25" s="269" t="s">
        <v>443</v>
      </c>
      <c r="AN25" s="269" t="s">
        <v>436</v>
      </c>
      <c r="AO25" s="392">
        <v>44927</v>
      </c>
      <c r="AP25" s="392">
        <v>45291</v>
      </c>
      <c r="AQ25" s="311" t="s">
        <v>415</v>
      </c>
      <c r="AR25" s="252" t="s">
        <v>444</v>
      </c>
      <c r="AS25" s="258" t="s">
        <v>368</v>
      </c>
      <c r="AT25" s="183">
        <v>0.6</v>
      </c>
      <c r="AU25" s="219"/>
      <c r="AV25" s="211"/>
      <c r="AW25" s="23"/>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row>
    <row r="26" spans="1:77" ht="151.5" hidden="1" customHeight="1" thickBot="1" x14ac:dyDescent="0.35">
      <c r="A26" s="626" t="s">
        <v>406</v>
      </c>
      <c r="B26" s="641" t="s">
        <v>425</v>
      </c>
      <c r="C26" s="641" t="s">
        <v>426</v>
      </c>
      <c r="D26" s="524" t="s">
        <v>345</v>
      </c>
      <c r="E26" s="641" t="s">
        <v>346</v>
      </c>
      <c r="F26" s="628" t="s">
        <v>347</v>
      </c>
      <c r="G26" s="643" t="s">
        <v>445</v>
      </c>
      <c r="H26" s="273" t="s">
        <v>29</v>
      </c>
      <c r="I26" s="644" t="s">
        <v>395</v>
      </c>
      <c r="J26" s="270" t="s">
        <v>446</v>
      </c>
      <c r="K26" s="271" t="s">
        <v>8</v>
      </c>
      <c r="L26" s="272" t="s">
        <v>8</v>
      </c>
      <c r="M26" s="273" t="s">
        <v>46</v>
      </c>
      <c r="N26" s="155" t="s">
        <v>354</v>
      </c>
      <c r="O26" s="140">
        <v>1</v>
      </c>
      <c r="P26" s="141" t="str">
        <f t="shared" si="0"/>
        <v>Muy Baja</v>
      </c>
      <c r="Q26" s="142">
        <f t="shared" si="1"/>
        <v>0.2</v>
      </c>
      <c r="R26" s="143" t="s">
        <v>388</v>
      </c>
      <c r="S26" s="274" t="str">
        <f>IF(NOT(ISERROR(MATCH(R26,'Tabla Impacto'!$B$221:$B$223,0))),'Tabla Impacto'!$F$223&amp;"Por favor no seleccionar los criterios de impacto(Afectación Económica o presupuestal y Pérdida Reputacional)",R26)</f>
        <v xml:space="preserve">     El riesgo afecta la imagen de la entidad con algunos usuarios de relevancia frente al logro de los objetivos</v>
      </c>
      <c r="T26" s="275" t="str">
        <f>IF(OR(S26='Tabla Impacto'!$C$11,S26='Tabla Impacto'!$D$11),"Leve",IF(OR(S26='Tabla Impacto'!$C$12,S26='Tabla Impacto'!$D$12),"Menor",IF(OR(S26='Tabla Impacto'!$C$13,S26='Tabla Impacto'!$D$13),"Moderado",IF(OR(S26='Tabla Impacto'!$C$14,S26='Tabla Impacto'!$D$14),"Mayor",IF(OR(S26='Tabla Impacto'!$C$15,S26='Tabla Impacto'!$D$15),"Catastrófico","")))))</f>
        <v>Moderado</v>
      </c>
      <c r="U26" s="276">
        <f t="shared" si="2"/>
        <v>0.6</v>
      </c>
      <c r="V26" s="277" t="str">
        <f t="shared" si="3"/>
        <v>Moderado</v>
      </c>
      <c r="W26" s="121" t="s">
        <v>397</v>
      </c>
      <c r="X26" s="350" t="s">
        <v>398</v>
      </c>
      <c r="Y26" s="278" t="str">
        <f t="shared" si="11"/>
        <v>Probabilidad</v>
      </c>
      <c r="Z26" s="122" t="s">
        <v>358</v>
      </c>
      <c r="AA26" s="122" t="s">
        <v>359</v>
      </c>
      <c r="AB26" s="279" t="str">
        <f t="shared" si="26"/>
        <v>40%</v>
      </c>
      <c r="AC26" s="280" t="s">
        <v>360</v>
      </c>
      <c r="AD26" s="280" t="s">
        <v>361</v>
      </c>
      <c r="AE26" s="280" t="s">
        <v>362</v>
      </c>
      <c r="AF26" s="281">
        <f t="shared" si="27"/>
        <v>0.12</v>
      </c>
      <c r="AG26" s="282" t="str">
        <f t="shared" si="28"/>
        <v>Muy Baja</v>
      </c>
      <c r="AH26" s="279">
        <f t="shared" si="29"/>
        <v>0.12</v>
      </c>
      <c r="AI26" s="282" t="str">
        <f t="shared" si="30"/>
        <v>Moderado</v>
      </c>
      <c r="AJ26" s="279">
        <f t="shared" si="31"/>
        <v>0.6</v>
      </c>
      <c r="AK26" s="283" t="str">
        <f t="shared" si="32"/>
        <v>Moderado</v>
      </c>
      <c r="AL26" s="280" t="s">
        <v>363</v>
      </c>
      <c r="AM26" s="163" t="s">
        <v>447</v>
      </c>
      <c r="AN26" s="163" t="s">
        <v>448</v>
      </c>
      <c r="AO26" s="392">
        <v>44927</v>
      </c>
      <c r="AP26" s="392">
        <v>45291</v>
      </c>
      <c r="AQ26" s="312" t="s">
        <v>437</v>
      </c>
      <c r="AR26" s="252" t="s">
        <v>449</v>
      </c>
      <c r="AS26" s="258" t="s">
        <v>368</v>
      </c>
      <c r="AT26" s="183">
        <v>0.6</v>
      </c>
      <c r="AU26" s="219"/>
      <c r="AV26" s="211"/>
      <c r="AW26" s="23"/>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row>
    <row r="27" spans="1:77" ht="187.9" hidden="1" customHeight="1" thickBot="1" x14ac:dyDescent="0.35">
      <c r="A27" s="627"/>
      <c r="B27" s="642"/>
      <c r="C27" s="642"/>
      <c r="D27" s="524" t="s">
        <v>345</v>
      </c>
      <c r="E27" s="642"/>
      <c r="F27" s="621"/>
      <c r="G27" s="625"/>
      <c r="H27" s="284" t="s">
        <v>9</v>
      </c>
      <c r="I27" s="617"/>
      <c r="J27" s="285" t="s">
        <v>446</v>
      </c>
      <c r="K27" s="286" t="s">
        <v>8</v>
      </c>
      <c r="L27" s="287" t="s">
        <v>8</v>
      </c>
      <c r="M27" s="288" t="s">
        <v>10</v>
      </c>
      <c r="N27" s="289" t="s">
        <v>354</v>
      </c>
      <c r="O27" s="258">
        <v>1</v>
      </c>
      <c r="P27" s="290" t="str">
        <f t="shared" si="0"/>
        <v>Muy Baja</v>
      </c>
      <c r="Q27" s="291">
        <f t="shared" si="1"/>
        <v>0.2</v>
      </c>
      <c r="R27" s="292" t="s">
        <v>388</v>
      </c>
      <c r="S27" s="293" t="str">
        <f>IF(NOT(ISERROR(MATCH(R27,'Tabla Impacto'!$B$221:$B$223,0))),'Tabla Impacto'!$F$223&amp;"Por favor no seleccionar los criterios de impacto(Afectación Económica o presupuestal y Pérdida Reputacional)",R27)</f>
        <v xml:space="preserve">     El riesgo afecta la imagen de la entidad con algunos usuarios de relevancia frente al logro de los objetivos</v>
      </c>
      <c r="T27" s="290" t="str">
        <f>IF(OR(S27='Tabla Impacto'!$C$11,S27='Tabla Impacto'!$D$11),"Leve",IF(OR(S27='Tabla Impacto'!$C$12,S27='Tabla Impacto'!$D$12),"Menor",IF(OR(S27='Tabla Impacto'!$C$13,S27='Tabla Impacto'!$D$13),"Moderado",IF(OR(S27='Tabla Impacto'!$C$14,S27='Tabla Impacto'!$D$14),"Mayor",IF(OR(S27='Tabla Impacto'!$C$15,S27='Tabla Impacto'!$D$15),"Catastrófico","")))))</f>
        <v>Moderado</v>
      </c>
      <c r="U27" s="291">
        <f t="shared" si="2"/>
        <v>0.6</v>
      </c>
      <c r="V27" s="294" t="str">
        <f t="shared" si="3"/>
        <v>Moderado</v>
      </c>
      <c r="W27" s="295" t="s">
        <v>430</v>
      </c>
      <c r="X27" s="215" t="s">
        <v>431</v>
      </c>
      <c r="Y27" s="296" t="str">
        <f t="shared" si="11"/>
        <v>Probabilidad</v>
      </c>
      <c r="Z27" s="265" t="s">
        <v>358</v>
      </c>
      <c r="AA27" s="265" t="s">
        <v>359</v>
      </c>
      <c r="AB27" s="297" t="str">
        <f t="shared" si="26"/>
        <v>40%</v>
      </c>
      <c r="AC27" s="298" t="s">
        <v>360</v>
      </c>
      <c r="AD27" s="298" t="s">
        <v>361</v>
      </c>
      <c r="AE27" s="298" t="s">
        <v>362</v>
      </c>
      <c r="AF27" s="299">
        <f t="shared" si="27"/>
        <v>0.12</v>
      </c>
      <c r="AG27" s="300" t="str">
        <f t="shared" si="28"/>
        <v>Muy Baja</v>
      </c>
      <c r="AH27" s="297">
        <f t="shared" si="29"/>
        <v>0.12</v>
      </c>
      <c r="AI27" s="300" t="str">
        <f t="shared" si="30"/>
        <v>Moderado</v>
      </c>
      <c r="AJ27" s="297">
        <f t="shared" si="31"/>
        <v>0.6</v>
      </c>
      <c r="AK27" s="301" t="str">
        <f t="shared" si="32"/>
        <v>Moderado</v>
      </c>
      <c r="AL27" s="302" t="s">
        <v>363</v>
      </c>
      <c r="AM27" s="303" t="s">
        <v>450</v>
      </c>
      <c r="AN27" s="304" t="s">
        <v>448</v>
      </c>
      <c r="AO27" s="392">
        <v>44927</v>
      </c>
      <c r="AP27" s="392">
        <v>45291</v>
      </c>
      <c r="AQ27" s="312" t="s">
        <v>437</v>
      </c>
      <c r="AR27" s="252" t="s">
        <v>451</v>
      </c>
      <c r="AS27" s="258" t="s">
        <v>368</v>
      </c>
      <c r="AT27" s="183">
        <v>0.57999999999999996</v>
      </c>
      <c r="AU27" s="219"/>
      <c r="AV27" s="211"/>
      <c r="AW27" s="23"/>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row>
    <row r="28" spans="1:77" ht="228.75" hidden="1" customHeight="1" thickBot="1" x14ac:dyDescent="0.35">
      <c r="A28" s="305" t="s">
        <v>452</v>
      </c>
      <c r="B28" s="232" t="s">
        <v>425</v>
      </c>
      <c r="C28" s="232" t="s">
        <v>453</v>
      </c>
      <c r="D28" s="524" t="s">
        <v>345</v>
      </c>
      <c r="E28" s="201" t="s">
        <v>346</v>
      </c>
      <c r="F28" s="306" t="s">
        <v>347</v>
      </c>
      <c r="G28" s="217" t="s">
        <v>427</v>
      </c>
      <c r="H28" s="307" t="s">
        <v>16</v>
      </c>
      <c r="I28" s="434" t="s">
        <v>454</v>
      </c>
      <c r="J28" s="285" t="s">
        <v>370</v>
      </c>
      <c r="K28" s="308" t="s">
        <v>8</v>
      </c>
      <c r="L28" s="168" t="s">
        <v>8</v>
      </c>
      <c r="M28" s="253" t="s">
        <v>387</v>
      </c>
      <c r="N28" s="169" t="s">
        <v>354</v>
      </c>
      <c r="O28" s="170">
        <v>5</v>
      </c>
      <c r="P28" s="171" t="str">
        <f t="shared" si="0"/>
        <v>Baja</v>
      </c>
      <c r="Q28" s="172">
        <f t="shared" si="1"/>
        <v>0.4</v>
      </c>
      <c r="R28" s="385" t="s">
        <v>355</v>
      </c>
      <c r="S28" s="386" t="str">
        <f>IF(NOT(ISERROR(MATCH(R28,'Tabla Impacto'!$B$221:$B$223,0))),'Tabla Impacto'!$F$223&amp;"Por favor no seleccionar los criterios de impacto(Afectación Económica o presupuestal y Pérdida Reputacional)",R28)</f>
        <v xml:space="preserve">     El riesgo afecta la imagen de alguna área de la organización</v>
      </c>
      <c r="T28" s="290" t="str">
        <f>IF(OR(S28='Tabla Impacto'!$C$11,S28='Tabla Impacto'!$D$11),"Leve",IF(OR(S28='Tabla Impacto'!$C$12,S28='Tabla Impacto'!$D$12),"Menor",IF(OR(S28='Tabla Impacto'!$C$13,S28='Tabla Impacto'!$D$13),"Moderado",IF(OR(S28='Tabla Impacto'!$C$14,S28='Tabla Impacto'!$D$14),"Mayor",IF(OR(S28='Tabla Impacto'!$C$15,S28='Tabla Impacto'!$D$15),"Catastrófico","")))))</f>
        <v>Leve</v>
      </c>
      <c r="U28" s="172">
        <f t="shared" si="2"/>
        <v>0.2</v>
      </c>
      <c r="V28" s="175" t="str">
        <f t="shared" si="3"/>
        <v>Bajo</v>
      </c>
      <c r="W28" s="176" t="s">
        <v>372</v>
      </c>
      <c r="X28" s="399" t="s">
        <v>373</v>
      </c>
      <c r="Y28" s="309" t="str">
        <f t="shared" si="11"/>
        <v>Probabilidad</v>
      </c>
      <c r="Z28" s="196" t="s">
        <v>358</v>
      </c>
      <c r="AA28" s="196" t="s">
        <v>359</v>
      </c>
      <c r="AB28" s="197" t="str">
        <f t="shared" si="26"/>
        <v>40%</v>
      </c>
      <c r="AC28" s="177" t="s">
        <v>360</v>
      </c>
      <c r="AD28" s="177" t="s">
        <v>361</v>
      </c>
      <c r="AE28" s="177" t="s">
        <v>362</v>
      </c>
      <c r="AF28" s="179">
        <f t="shared" si="27"/>
        <v>0.24</v>
      </c>
      <c r="AG28" s="180" t="str">
        <f t="shared" si="28"/>
        <v>Baja</v>
      </c>
      <c r="AH28" s="178">
        <f t="shared" si="29"/>
        <v>0.24</v>
      </c>
      <c r="AI28" s="180" t="str">
        <f t="shared" si="30"/>
        <v>Leve</v>
      </c>
      <c r="AJ28" s="178">
        <f t="shared" si="31"/>
        <v>0.2</v>
      </c>
      <c r="AK28" s="181" t="str">
        <f t="shared" si="32"/>
        <v>Bajo</v>
      </c>
      <c r="AL28" s="177" t="s">
        <v>363</v>
      </c>
      <c r="AM28" s="310" t="s">
        <v>455</v>
      </c>
      <c r="AN28" s="169" t="s">
        <v>448</v>
      </c>
      <c r="AO28" s="392">
        <v>44927</v>
      </c>
      <c r="AP28" s="392">
        <v>45291</v>
      </c>
      <c r="AQ28" s="393" t="s">
        <v>400</v>
      </c>
      <c r="AR28" s="252" t="s">
        <v>375</v>
      </c>
      <c r="AS28" s="392" t="s">
        <v>368</v>
      </c>
      <c r="AT28" s="183">
        <v>0</v>
      </c>
      <c r="AU28" s="219"/>
      <c r="AV28" s="211"/>
      <c r="AW28" s="23"/>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row>
    <row r="29" spans="1:77" ht="151.5" hidden="1" customHeight="1" thickBot="1" x14ac:dyDescent="0.35">
      <c r="A29" s="600" t="s">
        <v>342</v>
      </c>
      <c r="B29" s="602" t="s">
        <v>456</v>
      </c>
      <c r="C29" s="602" t="s">
        <v>457</v>
      </c>
      <c r="D29" s="524" t="s">
        <v>345</v>
      </c>
      <c r="E29" s="602" t="s">
        <v>346</v>
      </c>
      <c r="F29" s="624" t="s">
        <v>347</v>
      </c>
      <c r="G29" s="624" t="s">
        <v>458</v>
      </c>
      <c r="H29" s="158" t="s">
        <v>459</v>
      </c>
      <c r="I29" s="640" t="s">
        <v>460</v>
      </c>
      <c r="J29" s="663" t="s">
        <v>351</v>
      </c>
      <c r="K29" s="664" t="s">
        <v>8</v>
      </c>
      <c r="L29" s="667" t="s">
        <v>8</v>
      </c>
      <c r="M29" s="158" t="s">
        <v>461</v>
      </c>
      <c r="N29" s="156" t="s">
        <v>354</v>
      </c>
      <c r="O29" s="140">
        <v>20</v>
      </c>
      <c r="P29" s="141" t="str">
        <f>IF(O29&lt;=0,"",IF(O29&lt;=2,"Muy Baja",IF(O29&lt;=24,"Baja",IF(O29&lt;=500,"Media",IF(O29&lt;=5000,"Alta","Muy Alta")))))</f>
        <v>Baja</v>
      </c>
      <c r="Q29" s="142">
        <f>IF(P29="","",IF(P29="Muy Baja",0.2,IF(P29="Baja",0.4,IF(P29="Media",0.6,IF(P29="Alta",0.8,IF(P29="Muy Alta",1,))))))</f>
        <v>0.4</v>
      </c>
      <c r="R29" s="143" t="s">
        <v>388</v>
      </c>
      <c r="S29" s="144" t="str">
        <f>IF(NOT(ISERROR(MATCH(R29,'Tabla Impacto'!$B$221:$B$223,0))),'Tabla Impacto'!$F$223&amp;"Por favor no seleccionar los criterios de impacto(Afectación Económica o presupuestal y Pérdida Reputacional)",R29)</f>
        <v xml:space="preserve">     El riesgo afecta la imagen de la entidad con algunos usuarios de relevancia frente al logro de los objetivos</v>
      </c>
      <c r="T29" s="141" t="str">
        <f>IF(OR(S29='Tabla Impacto'!$C$11,S29='Tabla Impacto'!$D$11),"Leve",IF(OR(S29='Tabla Impacto'!$C$12,S29='Tabla Impacto'!$D$12),"Menor",IF(OR(S29='Tabla Impacto'!$C$13,S29='Tabla Impacto'!$D$13),"Moderado",IF(OR(S29='Tabla Impacto'!$C$14,S29='Tabla Impacto'!$D$14),"Mayor",IF(OR(S29='Tabla Impacto'!$C$15,S29='Tabla Impacto'!$D$15),"Catastrófico","")))))</f>
        <v>Moderado</v>
      </c>
      <c r="U29" s="144">
        <f>IF(T29="","",IF(T29="Leve",0.2,IF(T29="Menor",0.4,IF(T29="Moderado",0.6,IF(T29="Mayor",0.8,IF(T29="Catastrófico",1,))))))</f>
        <v>0.6</v>
      </c>
      <c r="V29" s="153" t="str">
        <f>IF(OR(AND(P29="Muy Baja",T29="Leve"),AND(P29="Muy Baja",T29="Menor"),AND(P29="Baja",T29="Leve")),"Bajo",IF(OR(AND(P29="Muy baja",T29="Moderado"),AND(P29="Baja",T29="Menor"),AND(P29="Baja",T29="Moderado"),AND(P29="Media",T29="Leve"),AND(P29="Media",T29="Menor"),AND(P29="Media",T29="Moderado"),AND(P29="Alta",T29="Leve"),AND(P29="Alta",T29="Menor")),"Moderado",IF(OR(AND(P29="Muy Baja",T29="Mayor"),AND(P29="Baja",T29="Mayor"),AND(P29="Media",T29="Mayor"),AND(P29="Alta",T29="Moderado"),AND(P29="Alta",T29="Mayor"),AND(P29="Muy Alta",T29="Leve"),AND(P29="Muy Alta",T29="Menor"),AND(P29="Muy Alta",T29="Moderado"),AND(P29="Muy Alta",T29="Mayor")),"Alto",IF(OR(AND(P29="Muy Baja",T29="Catastrófico"),AND(P29="Baja",T29="Catastrófico"),AND(P29="Media",T29="Catastrófico"),AND(P29="Alta",T29="Catastrófico"),AND(P29="Muy Alta",T29="Catastrófico")),"Extremo",""))))</f>
        <v>Moderado</v>
      </c>
      <c r="W29" s="154" t="s">
        <v>356</v>
      </c>
      <c r="X29" s="209" t="s">
        <v>421</v>
      </c>
      <c r="Y29" s="145" t="str">
        <f>IF(OR(Z29="Preventivo",Z29="Detectivo"),"Probabilidad",IF(Z29="Correctivo","Impacto",""))</f>
        <v>Impacto</v>
      </c>
      <c r="Z29" s="146" t="s">
        <v>462</v>
      </c>
      <c r="AA29" s="146" t="s">
        <v>359</v>
      </c>
      <c r="AB29" s="147" t="str">
        <f>IF(AND(Z29="Preventivo",AA29="Automático"),"50%",IF(AND(Z29="Preventivo",AA29="Manual"),"40%",IF(AND(Z29="Detectivo",AA29="Automático"),"40%",IF(AND(Z29="Detectivo",AA29="Manual"),"30%",IF(AND(Z29="Correctivo",AA29="Automático"),"35%",IF(AND(Z29="Correctivo",AA29="Manual"),"25%",""))))))</f>
        <v>25%</v>
      </c>
      <c r="AC29" s="146" t="s">
        <v>360</v>
      </c>
      <c r="AD29" s="146" t="s">
        <v>361</v>
      </c>
      <c r="AE29" s="146" t="s">
        <v>362</v>
      </c>
      <c r="AF29" s="148">
        <f>IFERROR(IF(Y29="Probabilidad",(Q29-(+Q29*AB29)),IF(Y29="Impacto",Q29,"")),"")</f>
        <v>0.4</v>
      </c>
      <c r="AG29" s="149" t="str">
        <f>IFERROR(IF(AF29="","",IF(AF29&lt;=0.2,"Muy Baja",IF(AF29&lt;=0.4,"Baja",IF(AF29&lt;=0.6,"Media",IF(AF29&lt;=0.8,"Alta","Muy Alta"))))),"")</f>
        <v>Baja</v>
      </c>
      <c r="AH29" s="147">
        <f>+AF29</f>
        <v>0.4</v>
      </c>
      <c r="AI29" s="149" t="str">
        <f>IFERROR(IF(AJ29="","",IF(AJ29&lt;=0.2,"Leve",IF(AJ29&lt;=0.4,"Menor",IF(AJ29&lt;=0.6,"Moderado",IF(AJ29&lt;=0.8,"Mayor","Catastrófico"))))),"")</f>
        <v>Moderado</v>
      </c>
      <c r="AJ29" s="147">
        <f>IFERROR(IF(Y29="Impacto",(U29-(+U29*AB29)),IF(Y29="Probabilidad",U29,"")),"")</f>
        <v>0.44999999999999996</v>
      </c>
      <c r="AK29" s="150" t="str">
        <f>IFERROR(IF(OR(AND(AG29="Muy Baja",AI29="Leve"),AND(AG29="Muy Baja",AI29="Menor"),AND(AG29="Baja",AI29="Leve")),"Bajo",IF(OR(AND(AG29="Muy baja",AI29="Moderado"),AND(AG29="Baja",AI29="Menor"),AND(AG29="Baja",AI29="Moderado"),AND(AG29="Media",AI29="Leve"),AND(AG29="Media",AI29="Menor"),AND(AG29="Media",AI29="Moderado"),AND(AG29="Alta",AI29="Leve"),AND(AG29="Alta",AI29="Menor")),"Moderado",IF(OR(AND(AG29="Muy Baja",AI29="Mayor"),AND(AG29="Baja",AI29="Mayor"),AND(AG29="Media",AI29="Mayor"),AND(AG29="Alta",AI29="Moderado"),AND(AG29="Alta",AI29="Mayor"),AND(AG29="Muy Alta",AI29="Leve"),AND(AG29="Muy Alta",AI29="Menor"),AND(AG29="Muy Alta",AI29="Moderado"),AND(AG29="Muy Alta",AI29="Mayor")),"Alto",IF(OR(AND(AG29="Muy Baja",AI29="Catastrófico"),AND(AG29="Baja",AI29="Catastrófico"),AND(AG29="Media",AI29="Catastrófico"),AND(AG29="Alta",AI29="Catastrófico"),AND(AG29="Muy Alta",AI29="Catastrófico")),"Extremo","")))),"")</f>
        <v>Moderado</v>
      </c>
      <c r="AL29" s="146" t="s">
        <v>363</v>
      </c>
      <c r="AM29" s="129" t="s">
        <v>413</v>
      </c>
      <c r="AN29" s="155" t="s">
        <v>436</v>
      </c>
      <c r="AO29" s="392">
        <v>44927</v>
      </c>
      <c r="AP29" s="392">
        <v>45291</v>
      </c>
      <c r="AQ29" s="312" t="s">
        <v>437</v>
      </c>
      <c r="AR29" s="155" t="s">
        <v>463</v>
      </c>
      <c r="AS29" s="392" t="s">
        <v>368</v>
      </c>
      <c r="AT29" s="183">
        <v>0.9</v>
      </c>
      <c r="AU29" s="219"/>
      <c r="AV29" s="211"/>
      <c r="AW29" s="23"/>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row>
    <row r="30" spans="1:77" ht="184.9" hidden="1" customHeight="1" thickBot="1" x14ac:dyDescent="0.35">
      <c r="A30" s="601"/>
      <c r="B30" s="603"/>
      <c r="C30" s="603"/>
      <c r="D30" s="524" t="s">
        <v>345</v>
      </c>
      <c r="E30" s="603"/>
      <c r="F30" s="625"/>
      <c r="G30" s="625"/>
      <c r="H30" s="253" t="s">
        <v>23</v>
      </c>
      <c r="I30" s="617"/>
      <c r="J30" s="637"/>
      <c r="K30" s="608"/>
      <c r="L30" s="614"/>
      <c r="M30" s="253" t="s">
        <v>387</v>
      </c>
      <c r="N30" s="157" t="s">
        <v>354</v>
      </c>
      <c r="O30" s="170">
        <v>20</v>
      </c>
      <c r="P30" s="171" t="str">
        <f>IF(O30&lt;=0,"",IF(O30&lt;=2,"Muy Baja",IF(O30&lt;=24,"Baja",IF(O30&lt;=500,"Media",IF(O30&lt;=5000,"Alta","Muy Alta")))))</f>
        <v>Baja</v>
      </c>
      <c r="Q30" s="172">
        <f>IF(P30="","",IF(P30="Muy Baja",0.2,IF(P30="Baja",0.4,IF(P30="Media",0.6,IF(P30="Alta",0.8,IF(P30="Muy Alta",1,))))))</f>
        <v>0.4</v>
      </c>
      <c r="R30" s="173" t="s">
        <v>388</v>
      </c>
      <c r="S30" s="174" t="str">
        <f>IF(NOT(ISERROR(MATCH(R30,'Tabla Impacto'!$B$221:$B$223,0))),'Tabla Impacto'!$F$223&amp;"Por favor no seleccionar los criterios de impacto(Afectación Económica o presupuestal y Pérdida Reputacional)",R30)</f>
        <v xml:space="preserve">     El riesgo afecta la imagen de la entidad con algunos usuarios de relevancia frente al logro de los objetivos</v>
      </c>
      <c r="T30" s="171" t="str">
        <f>IF(OR(S30='Tabla Impacto'!$C$11,S30='Tabla Impacto'!$D$11),"Leve",IF(OR(S30='Tabla Impacto'!$C$12,S30='Tabla Impacto'!$D$12),"Menor",IF(OR(S30='Tabla Impacto'!$C$13,S30='Tabla Impacto'!$D$13),"Moderado",IF(OR(S30='Tabla Impacto'!$C$14,S30='Tabla Impacto'!$D$14),"Mayor",IF(OR(S30='Tabla Impacto'!$C$15,S30='Tabla Impacto'!$D$15),"Catastrófico","")))))</f>
        <v>Moderado</v>
      </c>
      <c r="U30" s="174">
        <f>IF(T30="","",IF(T30="Leve",0.2,IF(T30="Menor",0.4,IF(T30="Moderado",0.6,IF(T30="Mayor",0.8,IF(T30="Catastrófico",1,))))))</f>
        <v>0.6</v>
      </c>
      <c r="V30" s="175" t="str">
        <f>IF(OR(AND(P30="Muy Baja",T30="Leve"),AND(P30="Muy Baja",T30="Menor"),AND(P30="Baja",T30="Leve")),"Bajo",IF(OR(AND(P30="Muy baja",T30="Moderado"),AND(P30="Baja",T30="Menor"),AND(P30="Baja",T30="Moderado"),AND(P30="Media",T30="Leve"),AND(P30="Media",T30="Menor"),AND(P30="Media",T30="Moderado"),AND(P30="Alta",T30="Leve"),AND(P30="Alta",T30="Menor")),"Moderado",IF(OR(AND(P30="Muy Baja",T30="Mayor"),AND(P30="Baja",T30="Mayor"),AND(P30="Media",T30="Mayor"),AND(P30="Alta",T30="Moderado"),AND(P30="Alta",T30="Mayor"),AND(P30="Muy Alta",T30="Leve"),AND(P30="Muy Alta",T30="Menor"),AND(P30="Muy Alta",T30="Moderado"),AND(P30="Muy Alta",T30="Mayor")),"Alto",IF(OR(AND(P30="Muy Baja",T30="Catastrófico"),AND(P30="Baja",T30="Catastrófico"),AND(P30="Media",T30="Catastrófico"),AND(P30="Alta",T30="Catastrófico"),AND(P30="Muy Alta",T30="Catastrófico")),"Extremo",""))))</f>
        <v>Moderado</v>
      </c>
      <c r="W30" s="176" t="s">
        <v>430</v>
      </c>
      <c r="X30" s="215" t="s">
        <v>431</v>
      </c>
      <c r="Y30" s="313" t="str">
        <f>IF(OR(Z30="Preventivo",Z30="Detectivo"),"Probabilidad",IF(Z30="Correctivo","Impacto",""))</f>
        <v>Probabilidad</v>
      </c>
      <c r="Z30" s="177" t="s">
        <v>358</v>
      </c>
      <c r="AA30" s="177" t="s">
        <v>359</v>
      </c>
      <c r="AB30" s="178" t="str">
        <f>IF(AND(Z30="Preventivo",AA30="Automático"),"50%",IF(AND(Z30="Preventivo",AA30="Manual"),"40%",IF(AND(Z30="Detectivo",AA30="Automático"),"40%",IF(AND(Z30="Detectivo",AA30="Manual"),"30%",IF(AND(Z30="Correctivo",AA30="Automático"),"35%",IF(AND(Z30="Correctivo",AA30="Manual"),"25%",""))))))</f>
        <v>40%</v>
      </c>
      <c r="AC30" s="177" t="s">
        <v>360</v>
      </c>
      <c r="AD30" s="177" t="s">
        <v>361</v>
      </c>
      <c r="AE30" s="177" t="s">
        <v>362</v>
      </c>
      <c r="AF30" s="179">
        <f>IFERROR(IF(Y30="Probabilidad",(Q30-(+Q30*AB30)),IF(Y30="Impacto",Q30,"")),"")</f>
        <v>0.24</v>
      </c>
      <c r="AG30" s="180" t="str">
        <f>IFERROR(IF(AF30="","",IF(AF30&lt;=0.2,"Muy Baja",IF(AF30&lt;=0.4,"Baja",IF(AF30&lt;=0.6,"Media",IF(AF30&lt;=0.8,"Alta","Muy Alta"))))),"")</f>
        <v>Baja</v>
      </c>
      <c r="AH30" s="178">
        <f>+AF30</f>
        <v>0.24</v>
      </c>
      <c r="AI30" s="180" t="str">
        <f>IFERROR(IF(AJ30="","",IF(AJ30&lt;=0.2,"Leve",IF(AJ30&lt;=0.4,"Menor",IF(AJ30&lt;=0.6,"Moderado",IF(AJ30&lt;=0.8,"Mayor","Catastrófico"))))),"")</f>
        <v>Moderado</v>
      </c>
      <c r="AJ30" s="178">
        <f>IFERROR(IF(Y30="Impacto",(U30-(+U30*AB30)),IF(Y30="Probabilidad",U30,"")),"")</f>
        <v>0.6</v>
      </c>
      <c r="AK30" s="181" t="str">
        <f>IFERROR(IF(OR(AND(AG30="Muy Baja",AI30="Leve"),AND(AG30="Muy Baja",AI30="Menor"),AND(AG30="Baja",AI30="Leve")),"Bajo",IF(OR(AND(AG30="Muy baja",AI30="Moderado"),AND(AG30="Baja",AI30="Menor"),AND(AG30="Baja",AI30="Moderado"),AND(AG30="Media",AI30="Leve"),AND(AG30="Media",AI30="Menor"),AND(AG30="Media",AI30="Moderado"),AND(AG30="Alta",AI30="Leve"),AND(AG30="Alta",AI30="Menor")),"Moderado",IF(OR(AND(AG30="Muy Baja",AI30="Mayor"),AND(AG30="Baja",AI30="Mayor"),AND(AG30="Media",AI30="Mayor"),AND(AG30="Alta",AI30="Moderado"),AND(AG30="Alta",AI30="Mayor"),AND(AG30="Muy Alta",AI30="Leve"),AND(AG30="Muy Alta",AI30="Menor"),AND(AG30="Muy Alta",AI30="Moderado"),AND(AG30="Muy Alta",AI30="Mayor")),"Alto",IF(OR(AND(AG30="Muy Baja",AI30="Catastrófico"),AND(AG30="Baja",AI30="Catastrófico"),AND(AG30="Media",AI30="Catastrófico"),AND(AG30="Alta",AI30="Catastrófico"),AND(AG30="Muy Alta",AI30="Catastrófico")),"Extremo","")))),"")</f>
        <v>Moderado</v>
      </c>
      <c r="AL30" s="177" t="s">
        <v>363</v>
      </c>
      <c r="AM30" s="310" t="s">
        <v>464</v>
      </c>
      <c r="AN30" s="169" t="s">
        <v>448</v>
      </c>
      <c r="AO30" s="392">
        <v>44927</v>
      </c>
      <c r="AP30" s="392">
        <v>45291</v>
      </c>
      <c r="AQ30" s="169" t="s">
        <v>465</v>
      </c>
      <c r="AR30" s="169" t="s">
        <v>466</v>
      </c>
      <c r="AS30" s="392" t="s">
        <v>368</v>
      </c>
      <c r="AT30" s="183">
        <v>1</v>
      </c>
      <c r="AU30" s="219"/>
      <c r="AV30" s="211"/>
      <c r="AW30" s="23"/>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row>
    <row r="31" spans="1:77" ht="234.75" hidden="1" customHeight="1" thickBot="1" x14ac:dyDescent="0.35">
      <c r="A31" s="254" t="s">
        <v>342</v>
      </c>
      <c r="B31" s="314" t="s">
        <v>467</v>
      </c>
      <c r="C31" s="254" t="s">
        <v>468</v>
      </c>
      <c r="D31" s="524" t="s">
        <v>345</v>
      </c>
      <c r="E31" s="254" t="s">
        <v>346</v>
      </c>
      <c r="F31" s="315" t="s">
        <v>347</v>
      </c>
      <c r="G31" s="254" t="s">
        <v>427</v>
      </c>
      <c r="H31" s="254" t="s">
        <v>469</v>
      </c>
      <c r="I31" s="435" t="s">
        <v>470</v>
      </c>
      <c r="J31" s="254" t="s">
        <v>351</v>
      </c>
      <c r="K31" s="254" t="s">
        <v>8</v>
      </c>
      <c r="L31" s="316" t="s">
        <v>8</v>
      </c>
      <c r="M31" s="253" t="s">
        <v>20</v>
      </c>
      <c r="N31" s="317" t="s">
        <v>354</v>
      </c>
      <c r="O31" s="202">
        <v>5</v>
      </c>
      <c r="P31" s="205" t="str">
        <f t="shared" ref="P31" si="33">IF(O31&lt;=0,"",IF(O31&lt;=2,"Muy Baja",IF(O31&lt;=24,"Baja",IF(O31&lt;=500,"Media",IF(O31&lt;=5000,"Alta","Muy Alta")))))</f>
        <v>Baja</v>
      </c>
      <c r="Q31" s="206">
        <f t="shared" ref="Q31" si="34">IF(P31="","",IF(P31="Muy Baja",0.2,IF(P31="Baja",0.4,IF(P31="Media",0.6,IF(P31="Alta",0.8,IF(P31="Muy Alta",1,))))))</f>
        <v>0.4</v>
      </c>
      <c r="R31" s="143" t="s">
        <v>388</v>
      </c>
      <c r="S31" s="208" t="str">
        <f>IF(NOT(ISERROR(MATCH(R31,'Tabla Impacto'!$B$221:$B$223,0))),'Tabla Impacto'!$F$223&amp;"Por favor no seleccionar los criterios de impacto(Afectación Económica o presupuestal y Pérdida Reputacional)",R31)</f>
        <v xml:space="preserve">     El riesgo afecta la imagen de la entidad con algunos usuarios de relevancia frente al logro de los objetivos</v>
      </c>
      <c r="T31" s="205" t="str">
        <f>IF(OR(S31='Tabla Impacto'!$C$11,S31='Tabla Impacto'!$D$11),"Leve",IF(OR(S31='Tabla Impacto'!$C$12,S31='Tabla Impacto'!$D$12),"Menor",IF(OR(S31='Tabla Impacto'!$C$13,S31='Tabla Impacto'!$D$13),"Moderado",IF(OR(S31='Tabla Impacto'!$C$14,S31='Tabla Impacto'!$D$14),"Mayor",IF(OR(S31='Tabla Impacto'!$C$15,S31='Tabla Impacto'!$D$15),"Catastrófico","")))))</f>
        <v>Moderado</v>
      </c>
      <c r="U31" s="206">
        <f t="shared" ref="U31" si="35">IF(T31="","",IF(T31="Leve",0.2,IF(T31="Menor",0.4,IF(T31="Moderado",0.6,IF(T31="Mayor",0.8,IF(T31="Catastrófico",1,))))))</f>
        <v>0.6</v>
      </c>
      <c r="V31" s="205" t="str">
        <f t="shared" ref="V31" si="36">IF(OR(AND(P31="Muy Baja",T31="Leve"),AND(P31="Muy Baja",T31="Menor"),AND(P31="Baja",T31="Leve")),"Bajo",IF(OR(AND(P31="Muy baja",T31="Moderado"),AND(P31="Baja",T31="Menor"),AND(P31="Baja",T31="Moderado"),AND(P31="Media",T31="Leve"),AND(P31="Media",T31="Menor"),AND(P31="Media",T31="Moderado"),AND(P31="Alta",T31="Leve"),AND(P31="Alta",T31="Menor")),"Moderado",IF(OR(AND(P31="Muy Baja",T31="Mayor"),AND(P31="Baja",T31="Mayor"),AND(P31="Media",T31="Mayor"),AND(P31="Alta",T31="Moderado"),AND(P31="Alta",T31="Mayor"),AND(P31="Muy Alta",T31="Leve"),AND(P31="Muy Alta",T31="Menor"),AND(P31="Muy Alta",T31="Moderado"),AND(P31="Muy Alta",T31="Mayor")),"Alto",IF(OR(AND(P31="Muy Baja",T31="Catastrófico"),AND(P31="Baja",T31="Catastrófico"),AND(P31="Media",T31="Catastrófico"),AND(P31="Alta",T31="Catastrófico"),AND(P31="Muy Alta",T31="Catastrófico")),"Extremo",""))))</f>
        <v>Moderado</v>
      </c>
      <c r="W31" s="491" t="s">
        <v>356</v>
      </c>
      <c r="X31" s="209" t="s">
        <v>421</v>
      </c>
      <c r="Y31" s="500" t="s">
        <v>471</v>
      </c>
      <c r="Z31" s="501" t="s">
        <v>358</v>
      </c>
      <c r="AA31" s="501" t="s">
        <v>359</v>
      </c>
      <c r="AB31" s="502">
        <v>0.4</v>
      </c>
      <c r="AC31" s="501" t="s">
        <v>360</v>
      </c>
      <c r="AD31" s="501" t="s">
        <v>361</v>
      </c>
      <c r="AE31" s="501" t="s">
        <v>472</v>
      </c>
      <c r="AF31" s="503">
        <v>0.12</v>
      </c>
      <c r="AG31" s="339" t="s">
        <v>473</v>
      </c>
      <c r="AH31" s="502">
        <v>0.12</v>
      </c>
      <c r="AI31" s="340" t="s">
        <v>474</v>
      </c>
      <c r="AJ31" s="502">
        <v>1</v>
      </c>
      <c r="AK31" s="341" t="s">
        <v>475</v>
      </c>
      <c r="AL31" s="501" t="s">
        <v>363</v>
      </c>
      <c r="AM31" s="436" t="s">
        <v>476</v>
      </c>
      <c r="AN31" s="436" t="s">
        <v>477</v>
      </c>
      <c r="AO31" s="392">
        <v>44927</v>
      </c>
      <c r="AP31" s="392">
        <v>45291</v>
      </c>
      <c r="AQ31" s="436" t="s">
        <v>384</v>
      </c>
      <c r="AR31" s="436" t="s">
        <v>478</v>
      </c>
      <c r="AS31" s="392" t="s">
        <v>368</v>
      </c>
      <c r="AT31" s="183">
        <v>0.9</v>
      </c>
      <c r="AV31" s="211"/>
      <c r="AW31" s="23"/>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row>
    <row r="32" spans="1:77" ht="184.5" hidden="1" customHeight="1" thickBot="1" x14ac:dyDescent="0.35">
      <c r="A32" s="607" t="s">
        <v>393</v>
      </c>
      <c r="B32" s="607" t="s">
        <v>467</v>
      </c>
      <c r="C32" s="607" t="s">
        <v>468</v>
      </c>
      <c r="D32" s="524" t="s">
        <v>345</v>
      </c>
      <c r="E32" s="607" t="s">
        <v>346</v>
      </c>
      <c r="F32" s="607" t="s">
        <v>347</v>
      </c>
      <c r="G32" s="613" t="s">
        <v>419</v>
      </c>
      <c r="H32" s="606" t="s">
        <v>13</v>
      </c>
      <c r="I32" s="616" t="s">
        <v>479</v>
      </c>
      <c r="J32" s="636" t="s">
        <v>370</v>
      </c>
      <c r="K32" s="607" t="s">
        <v>8</v>
      </c>
      <c r="L32" s="630" t="s">
        <v>8</v>
      </c>
      <c r="M32" s="632" t="s">
        <v>353</v>
      </c>
      <c r="N32" s="634" t="s">
        <v>354</v>
      </c>
      <c r="O32" s="462">
        <v>1</v>
      </c>
      <c r="P32" s="152" t="str">
        <f t="shared" ref="P32:P36" si="37">IF(O32&lt;=0,"",IF(O32&lt;=2,"Muy Baja",IF(O32&lt;=24,"Baja",IF(O32&lt;=500,"Media",IF(O32&lt;=5000,"Alta","Muy Alta")))))</f>
        <v>Muy Baja</v>
      </c>
      <c r="Q32" s="318">
        <f t="shared" ref="Q32:Q36" si="38">IF(P32="","",IF(P32="Muy Baja",0.2,IF(P32="Baja",0.4,IF(P32="Media",0.6,IF(P32="Alta",0.8,IF(P32="Muy Alta",1,))))))</f>
        <v>0.2</v>
      </c>
      <c r="R32" s="190" t="s">
        <v>480</v>
      </c>
      <c r="S32" s="319" t="s">
        <v>480</v>
      </c>
      <c r="T32" s="334" t="s">
        <v>481</v>
      </c>
      <c r="U32" s="504">
        <v>0.8</v>
      </c>
      <c r="V32" s="335" t="s">
        <v>482</v>
      </c>
      <c r="W32" s="492" t="s">
        <v>389</v>
      </c>
      <c r="X32" s="440" t="s">
        <v>483</v>
      </c>
      <c r="Y32" s="505" t="s">
        <v>471</v>
      </c>
      <c r="Z32" s="506" t="s">
        <v>358</v>
      </c>
      <c r="AA32" s="506" t="s">
        <v>359</v>
      </c>
      <c r="AB32" s="507">
        <v>0.4</v>
      </c>
      <c r="AC32" s="506" t="s">
        <v>360</v>
      </c>
      <c r="AD32" s="506" t="s">
        <v>361</v>
      </c>
      <c r="AE32" s="506" t="s">
        <v>472</v>
      </c>
      <c r="AF32" s="508">
        <v>0.12</v>
      </c>
      <c r="AG32" s="342" t="s">
        <v>473</v>
      </c>
      <c r="AH32" s="507">
        <v>0.12</v>
      </c>
      <c r="AI32" s="343" t="s">
        <v>481</v>
      </c>
      <c r="AJ32" s="507">
        <v>0.8</v>
      </c>
      <c r="AK32" s="344" t="s">
        <v>482</v>
      </c>
      <c r="AL32" s="509" t="s">
        <v>363</v>
      </c>
      <c r="AM32" s="510" t="s">
        <v>484</v>
      </c>
      <c r="AN32" s="511" t="s">
        <v>448</v>
      </c>
      <c r="AO32" s="392">
        <v>44927</v>
      </c>
      <c r="AP32" s="392">
        <v>45291</v>
      </c>
      <c r="AQ32" s="436" t="s">
        <v>400</v>
      </c>
      <c r="AR32" s="439" t="s">
        <v>485</v>
      </c>
      <c r="AS32" s="392" t="s">
        <v>368</v>
      </c>
      <c r="AT32" s="183">
        <v>0.7</v>
      </c>
      <c r="AV32" s="211"/>
      <c r="AW32" s="23"/>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row>
    <row r="33" spans="1:77" ht="151.5" hidden="1" customHeight="1" thickBot="1" x14ac:dyDescent="0.35">
      <c r="A33" s="608"/>
      <c r="B33" s="608"/>
      <c r="C33" s="608"/>
      <c r="D33" s="524" t="s">
        <v>345</v>
      </c>
      <c r="E33" s="608"/>
      <c r="F33" s="608" t="s">
        <v>347</v>
      </c>
      <c r="G33" s="614"/>
      <c r="H33" s="603"/>
      <c r="I33" s="617"/>
      <c r="J33" s="637"/>
      <c r="K33" s="608"/>
      <c r="L33" s="631"/>
      <c r="M33" s="633"/>
      <c r="N33" s="635"/>
      <c r="O33" s="465">
        <v>1</v>
      </c>
      <c r="P33" s="320" t="str">
        <f t="shared" si="37"/>
        <v>Muy Baja</v>
      </c>
      <c r="Q33" s="321">
        <f t="shared" si="38"/>
        <v>0.2</v>
      </c>
      <c r="R33" s="322" t="s">
        <v>480</v>
      </c>
      <c r="S33" s="321" t="s">
        <v>480</v>
      </c>
      <c r="T33" s="336" t="s">
        <v>481</v>
      </c>
      <c r="U33" s="512">
        <v>0.8</v>
      </c>
      <c r="V33" s="337" t="s">
        <v>482</v>
      </c>
      <c r="W33" s="493" t="s">
        <v>372</v>
      </c>
      <c r="X33" s="399" t="s">
        <v>373</v>
      </c>
      <c r="Y33" s="500" t="s">
        <v>249</v>
      </c>
      <c r="Z33" s="513" t="s">
        <v>462</v>
      </c>
      <c r="AA33" s="513" t="s">
        <v>359</v>
      </c>
      <c r="AB33" s="502">
        <v>0.25</v>
      </c>
      <c r="AC33" s="513" t="s">
        <v>360</v>
      </c>
      <c r="AD33" s="513" t="s">
        <v>361</v>
      </c>
      <c r="AE33" s="513" t="s">
        <v>362</v>
      </c>
      <c r="AF33" s="503">
        <v>0.2</v>
      </c>
      <c r="AG33" s="339" t="s">
        <v>473</v>
      </c>
      <c r="AH33" s="502">
        <v>0.2</v>
      </c>
      <c r="AI33" s="345" t="s">
        <v>486</v>
      </c>
      <c r="AJ33" s="502">
        <v>0.6</v>
      </c>
      <c r="AK33" s="346" t="s">
        <v>486</v>
      </c>
      <c r="AL33" s="501" t="s">
        <v>363</v>
      </c>
      <c r="AM33" s="437" t="s">
        <v>487</v>
      </c>
      <c r="AN33" s="514" t="s">
        <v>448</v>
      </c>
      <c r="AO33" s="392">
        <v>44927</v>
      </c>
      <c r="AP33" s="392">
        <v>45291</v>
      </c>
      <c r="AQ33" s="436" t="s">
        <v>384</v>
      </c>
      <c r="AR33" s="438" t="s">
        <v>488</v>
      </c>
      <c r="AS33" s="392" t="s">
        <v>368</v>
      </c>
      <c r="AT33" s="183">
        <v>0</v>
      </c>
      <c r="AV33" s="211"/>
      <c r="AW33" s="23"/>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row>
    <row r="34" spans="1:77" s="428" customFormat="1" ht="151.5" hidden="1" customHeight="1" thickBot="1" x14ac:dyDescent="0.35">
      <c r="A34" s="607" t="s">
        <v>406</v>
      </c>
      <c r="B34" s="607" t="s">
        <v>467</v>
      </c>
      <c r="C34" s="607" t="s">
        <v>468</v>
      </c>
      <c r="D34" s="524" t="s">
        <v>345</v>
      </c>
      <c r="E34" s="607" t="s">
        <v>346</v>
      </c>
      <c r="F34" s="607" t="s">
        <v>347</v>
      </c>
      <c r="G34" s="609" t="s">
        <v>489</v>
      </c>
      <c r="H34" s="451" t="s">
        <v>29</v>
      </c>
      <c r="I34" s="611" t="s">
        <v>395</v>
      </c>
      <c r="J34" s="453" t="s">
        <v>446</v>
      </c>
      <c r="K34" s="454" t="s">
        <v>8</v>
      </c>
      <c r="L34" s="455" t="s">
        <v>8</v>
      </c>
      <c r="M34" s="451" t="s">
        <v>46</v>
      </c>
      <c r="N34" s="382" t="s">
        <v>354</v>
      </c>
      <c r="O34" s="459">
        <v>1</v>
      </c>
      <c r="P34" s="441" t="str">
        <f t="shared" si="37"/>
        <v>Muy Baja</v>
      </c>
      <c r="Q34" s="442">
        <f t="shared" si="38"/>
        <v>0.2</v>
      </c>
      <c r="R34" s="143" t="s">
        <v>490</v>
      </c>
      <c r="S34" s="143" t="s">
        <v>490</v>
      </c>
      <c r="T34" s="443" t="str">
        <f>IF(OR(S34='Tabla Impacto'!$C$11,S34='Tabla Impacto'!$D$11),"Leve",IF(OR(S34='Tabla Impacto'!$C$12,S34='Tabla Impacto'!$D$12),"Menor",IF(OR(S34='Tabla Impacto'!$C$13,S34='Tabla Impacto'!$D$13),"Moderado",IF(OR(S34='Tabla Impacto'!$C$14,S34='Tabla Impacto'!$D$14),"Mayor",IF(OR(S34='Tabla Impacto'!$C$15,S34='Tabla Impacto'!$D$15),"Catastrófico","")))))</f>
        <v>Mayor</v>
      </c>
      <c r="U34" s="444">
        <f t="shared" ref="U34:U35" si="39">IF(T34="","",IF(T34="Leve",0.2,IF(T34="Menor",0.4,IF(T34="Moderado",0.6,IF(T34="Mayor",0.8,IF(T34="Catastrófico",1,))))))</f>
        <v>0.8</v>
      </c>
      <c r="V34" s="445" t="str">
        <f t="shared" ref="V34:V36" si="40">IF(OR(AND(P34="Muy Baja",T34="Leve"),AND(P34="Muy Baja",T34="Menor"),AND(P34="Baja",T34="Leve")),"Bajo",IF(OR(AND(P34="Muy baja",T34="Moderado"),AND(P34="Baja",T34="Menor"),AND(P34="Baja",T34="Moderado"),AND(P34="Media",T34="Leve"),AND(P34="Media",T34="Menor"),AND(P34="Media",T34="Moderado"),AND(P34="Alta",T34="Leve"),AND(P34="Alta",T34="Menor")),"Moderado",IF(OR(AND(P34="Muy Baja",T34="Mayor"),AND(P34="Baja",T34="Mayor"),AND(P34="Media",T34="Mayor"),AND(P34="Alta",T34="Moderado"),AND(P34="Alta",T34="Mayor"),AND(P34="Muy Alta",T34="Leve"),AND(P34="Muy Alta",T34="Menor"),AND(P34="Muy Alta",T34="Moderado"),AND(P34="Muy Alta",T34="Mayor")),"Alto",IF(OR(AND(P34="Muy Baja",T34="Catastrófico"),AND(P34="Baja",T34="Catastrófico"),AND(P34="Media",T34="Catastrófico"),AND(P34="Alta",T34="Catastrófico"),AND(P34="Muy Alta",T34="Catastrófico")),"Extremo",""))))</f>
        <v>Alto</v>
      </c>
      <c r="W34" s="446" t="s">
        <v>397</v>
      </c>
      <c r="X34" s="350" t="s">
        <v>398</v>
      </c>
      <c r="Y34" s="468" t="str">
        <f t="shared" ref="Y34:Y35" si="41">IF(OR(Z34="Preventivo",Z34="Detectivo"),"Probabilidad",IF(Z34="Correctivo","Impacto",""))</f>
        <v>Probabilidad</v>
      </c>
      <c r="Z34" s="469" t="s">
        <v>358</v>
      </c>
      <c r="AA34" s="469" t="s">
        <v>359</v>
      </c>
      <c r="AB34" s="470" t="str">
        <f t="shared" ref="AB34:AB35" si="42">IF(AND(Z34="Preventivo",AA34="Automático"),"50%",IF(AND(Z34="Preventivo",AA34="Manual"),"40%",IF(AND(Z34="Detectivo",AA34="Automático"),"40%",IF(AND(Z34="Detectivo",AA34="Manual"),"30%",IF(AND(Z34="Correctivo",AA34="Automático"),"35%",IF(AND(Z34="Correctivo",AA34="Manual"),"25%",""))))))</f>
        <v>40%</v>
      </c>
      <c r="AC34" s="471" t="s">
        <v>360</v>
      </c>
      <c r="AD34" s="471" t="s">
        <v>361</v>
      </c>
      <c r="AE34" s="471" t="s">
        <v>362</v>
      </c>
      <c r="AF34" s="472">
        <f t="shared" ref="AF34:AF35" si="43">IFERROR(IF(Y34="Probabilidad",(Q34-(+Q34*AB34)),IF(Y34="Impacto",Q34,"")),"")</f>
        <v>0.12</v>
      </c>
      <c r="AG34" s="473" t="str">
        <f t="shared" ref="AG34:AG35" si="44">IFERROR(IF(AF34="","",IF(AF34&lt;=0.2,"Muy Baja",IF(AF34&lt;=0.4,"Baja",IF(AF34&lt;=0.6,"Media",IF(AF34&lt;=0.8,"Alta","Muy Alta"))))),"")</f>
        <v>Muy Baja</v>
      </c>
      <c r="AH34" s="470">
        <f t="shared" ref="AH34:AH35" si="45">+AF34</f>
        <v>0.12</v>
      </c>
      <c r="AI34" s="473" t="str">
        <f t="shared" ref="AI34:AI35" si="46">IFERROR(IF(AJ34="","",IF(AJ34&lt;=0.2,"Leve",IF(AJ34&lt;=0.4,"Menor",IF(AJ34&lt;=0.6,"Moderado",IF(AJ34&lt;=0.8,"Mayor","Catastrófico"))))),"")</f>
        <v>Mayor</v>
      </c>
      <c r="AJ34" s="470">
        <f t="shared" ref="AJ34:AJ35" si="47">IFERROR(IF(Y34="Impacto",(U34-(+U34*AB34)),IF(Y34="Probabilidad",U34,"")),"")</f>
        <v>0.8</v>
      </c>
      <c r="AK34" s="474" t="str">
        <f t="shared" ref="AK34:AK35" si="48">IFERROR(IF(OR(AND(AG34="Muy Baja",AI34="Leve"),AND(AG34="Muy Baja",AI34="Menor"),AND(AG34="Baja",AI34="Leve")),"Bajo",IF(OR(AND(AG34="Muy baja",AI34="Moderado"),AND(AG34="Baja",AI34="Menor"),AND(AG34="Baja",AI34="Moderado"),AND(AG34="Media",AI34="Leve"),AND(AG34="Media",AI34="Menor"),AND(AG34="Media",AI34="Moderado"),AND(AG34="Alta",AI34="Leve"),AND(AG34="Alta",AI34="Menor")),"Moderado",IF(OR(AND(AG34="Muy Baja",AI34="Mayor"),AND(AG34="Baja",AI34="Mayor"),AND(AG34="Media",AI34="Mayor"),AND(AG34="Alta",AI34="Moderado"),AND(AG34="Alta",AI34="Mayor"),AND(AG34="Muy Alta",AI34="Leve"),AND(AG34="Muy Alta",AI34="Menor"),AND(AG34="Muy Alta",AI34="Moderado"),AND(AG34="Muy Alta",AI34="Mayor")),"Alto",IF(OR(AND(AG34="Muy Baja",AI34="Catastrófico"),AND(AG34="Baja",AI34="Catastrófico"),AND(AG34="Media",AI34="Catastrófico"),AND(AG34="Alta",AI34="Catastrófico"),AND(AG34="Muy Alta",AI34="Catastrófico")),"Extremo","")))),"")</f>
        <v>Alto</v>
      </c>
      <c r="AL34" s="471" t="s">
        <v>363</v>
      </c>
      <c r="AM34" s="475" t="s">
        <v>447</v>
      </c>
      <c r="AN34" s="475" t="s">
        <v>448</v>
      </c>
      <c r="AO34" s="392">
        <v>44927</v>
      </c>
      <c r="AP34" s="392">
        <v>45291</v>
      </c>
      <c r="AQ34" s="476" t="s">
        <v>437</v>
      </c>
      <c r="AR34" s="477" t="s">
        <v>449</v>
      </c>
      <c r="AS34" s="461" t="s">
        <v>368</v>
      </c>
      <c r="AT34" s="424">
        <v>0.6</v>
      </c>
      <c r="AU34" s="463"/>
      <c r="AV34" s="426"/>
      <c r="AW34" s="427"/>
    </row>
    <row r="35" spans="1:77" s="428" customFormat="1" ht="285.75" hidden="1" customHeight="1" thickBot="1" x14ac:dyDescent="0.35">
      <c r="A35" s="608"/>
      <c r="B35" s="608"/>
      <c r="C35" s="608"/>
      <c r="D35" s="524" t="s">
        <v>345</v>
      </c>
      <c r="E35" s="608"/>
      <c r="F35" s="608" t="s">
        <v>347</v>
      </c>
      <c r="G35" s="610"/>
      <c r="H35" s="452" t="s">
        <v>491</v>
      </c>
      <c r="I35" s="612"/>
      <c r="J35" s="464" t="s">
        <v>446</v>
      </c>
      <c r="K35" s="456" t="s">
        <v>8</v>
      </c>
      <c r="L35" s="457" t="s">
        <v>8</v>
      </c>
      <c r="M35" s="458" t="s">
        <v>78</v>
      </c>
      <c r="N35" s="460" t="s">
        <v>354</v>
      </c>
      <c r="O35" s="461">
        <v>1</v>
      </c>
      <c r="P35" s="447" t="str">
        <f t="shared" si="37"/>
        <v>Muy Baja</v>
      </c>
      <c r="Q35" s="448">
        <f t="shared" si="38"/>
        <v>0.2</v>
      </c>
      <c r="R35" s="324" t="s">
        <v>380</v>
      </c>
      <c r="S35" s="323" t="s">
        <v>380</v>
      </c>
      <c r="T35" s="447" t="str">
        <f>IF(OR(S35='Tabla Impacto'!$C$11,S35='Tabla Impacto'!$D$11),"Leve",IF(OR(S35='Tabla Impacto'!$C$12,S35='Tabla Impacto'!$D$12),"Menor",IF(OR(S35='Tabla Impacto'!$C$13,S35='Tabla Impacto'!$D$13),"Moderado",IF(OR(S35='Tabla Impacto'!$C$14,S35='Tabla Impacto'!$D$14),"Mayor",IF(OR(S35='Tabla Impacto'!$C$15,S35='Tabla Impacto'!$D$15),"Catastrófico","")))))</f>
        <v>Catastrófico</v>
      </c>
      <c r="U35" s="448">
        <f t="shared" si="39"/>
        <v>1</v>
      </c>
      <c r="V35" s="449" t="str">
        <f t="shared" si="40"/>
        <v>Extremo</v>
      </c>
      <c r="W35" s="450" t="s">
        <v>492</v>
      </c>
      <c r="X35" s="478" t="s">
        <v>493</v>
      </c>
      <c r="Y35" s="479" t="str">
        <f t="shared" si="41"/>
        <v>Probabilidad</v>
      </c>
      <c r="Z35" s="480" t="s">
        <v>358</v>
      </c>
      <c r="AA35" s="480" t="s">
        <v>359</v>
      </c>
      <c r="AB35" s="481" t="str">
        <f t="shared" si="42"/>
        <v>40%</v>
      </c>
      <c r="AC35" s="482" t="s">
        <v>360</v>
      </c>
      <c r="AD35" s="482" t="s">
        <v>361</v>
      </c>
      <c r="AE35" s="482" t="s">
        <v>362</v>
      </c>
      <c r="AF35" s="483">
        <f t="shared" si="43"/>
        <v>0.12</v>
      </c>
      <c r="AG35" s="484" t="str">
        <f t="shared" si="44"/>
        <v>Muy Baja</v>
      </c>
      <c r="AH35" s="481">
        <f t="shared" si="45"/>
        <v>0.12</v>
      </c>
      <c r="AI35" s="484" t="str">
        <f t="shared" si="46"/>
        <v>Catastrófico</v>
      </c>
      <c r="AJ35" s="481">
        <f t="shared" si="47"/>
        <v>1</v>
      </c>
      <c r="AK35" s="485" t="str">
        <f t="shared" si="48"/>
        <v>Extremo</v>
      </c>
      <c r="AL35" s="486" t="s">
        <v>363</v>
      </c>
      <c r="AM35" s="487" t="s">
        <v>494</v>
      </c>
      <c r="AN35" s="488" t="s">
        <v>448</v>
      </c>
      <c r="AO35" s="392">
        <v>44927</v>
      </c>
      <c r="AP35" s="392">
        <v>45291</v>
      </c>
      <c r="AQ35" s="477" t="s">
        <v>437</v>
      </c>
      <c r="AR35" s="477" t="s">
        <v>495</v>
      </c>
      <c r="AS35" s="461" t="s">
        <v>368</v>
      </c>
      <c r="AT35" s="424">
        <v>0</v>
      </c>
      <c r="AU35" s="463"/>
      <c r="AV35" s="426"/>
      <c r="AW35" s="427"/>
    </row>
    <row r="36" spans="1:77" ht="409.15" hidden="1" customHeight="1" thickBot="1" x14ac:dyDescent="0.35">
      <c r="A36" s="490" t="s">
        <v>452</v>
      </c>
      <c r="B36" s="325" t="s">
        <v>467</v>
      </c>
      <c r="C36" s="326" t="s">
        <v>468</v>
      </c>
      <c r="D36" s="524" t="s">
        <v>345</v>
      </c>
      <c r="E36" s="327" t="s">
        <v>346</v>
      </c>
      <c r="F36" s="306" t="s">
        <v>496</v>
      </c>
      <c r="G36" s="203" t="s">
        <v>497</v>
      </c>
      <c r="H36" s="201" t="s">
        <v>498</v>
      </c>
      <c r="I36" s="466" t="s">
        <v>499</v>
      </c>
      <c r="J36" s="328" t="s">
        <v>351</v>
      </c>
      <c r="K36" s="329" t="s">
        <v>76</v>
      </c>
      <c r="L36" s="330" t="s">
        <v>76</v>
      </c>
      <c r="M36" s="201" t="s">
        <v>71</v>
      </c>
      <c r="N36" s="201" t="s">
        <v>440</v>
      </c>
      <c r="O36" s="489">
        <v>1</v>
      </c>
      <c r="P36" s="331" t="str">
        <f t="shared" si="37"/>
        <v>Muy Baja</v>
      </c>
      <c r="Q36" s="332">
        <f t="shared" si="38"/>
        <v>0.2</v>
      </c>
      <c r="R36" s="143" t="s">
        <v>490</v>
      </c>
      <c r="S36" s="143" t="s">
        <v>490</v>
      </c>
      <c r="T36" s="443" t="str">
        <f>IF(OR(S36='Tabla Impacto'!$C$11,S36='Tabla Impacto'!$D$11),"Leve",IF(OR(S36='Tabla Impacto'!$C$12,S36='Tabla Impacto'!$D$12),"Menor",IF(OR(S36='Tabla Impacto'!$C$13,S36='Tabla Impacto'!$D$13),"Moderado",IF(OR(S36='Tabla Impacto'!$C$14,S36='Tabla Impacto'!$D$14),"Mayor",IF(OR(S36='Tabla Impacto'!$C$15,S36='Tabla Impacto'!$D$15),"Catastrófico","")))))</f>
        <v>Mayor</v>
      </c>
      <c r="U36" s="515">
        <v>0.8</v>
      </c>
      <c r="V36" s="449" t="str">
        <f t="shared" si="40"/>
        <v>Alto</v>
      </c>
      <c r="W36" s="494" t="s">
        <v>500</v>
      </c>
      <c r="X36" s="467" t="s">
        <v>501</v>
      </c>
      <c r="Y36" s="516" t="s">
        <v>249</v>
      </c>
      <c r="Z36" s="517" t="s">
        <v>358</v>
      </c>
      <c r="AA36" s="517" t="s">
        <v>359</v>
      </c>
      <c r="AB36" s="518">
        <v>0.4</v>
      </c>
      <c r="AC36" s="519" t="s">
        <v>360</v>
      </c>
      <c r="AD36" s="520" t="s">
        <v>361</v>
      </c>
      <c r="AE36" s="517" t="s">
        <v>472</v>
      </c>
      <c r="AF36" s="521">
        <v>0.2</v>
      </c>
      <c r="AG36" s="347" t="s">
        <v>473</v>
      </c>
      <c r="AH36" s="518">
        <v>0.2</v>
      </c>
      <c r="AI36" s="348" t="s">
        <v>486</v>
      </c>
      <c r="AJ36" s="518">
        <v>0.48</v>
      </c>
      <c r="AK36" s="349" t="s">
        <v>486</v>
      </c>
      <c r="AL36" s="517" t="s">
        <v>363</v>
      </c>
      <c r="AM36" s="522" t="s">
        <v>502</v>
      </c>
      <c r="AN36" s="522" t="s">
        <v>448</v>
      </c>
      <c r="AO36" s="392">
        <v>44927</v>
      </c>
      <c r="AP36" s="392">
        <v>45291</v>
      </c>
      <c r="AQ36" s="476" t="s">
        <v>437</v>
      </c>
      <c r="AR36" s="338" t="s">
        <v>503</v>
      </c>
      <c r="AS36" s="392" t="s">
        <v>368</v>
      </c>
      <c r="AT36" s="183">
        <v>0.6</v>
      </c>
      <c r="AV36" s="211"/>
      <c r="AW36" s="23"/>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row>
    <row r="37" spans="1:77" s="428" customFormat="1" ht="151.5" hidden="1" customHeight="1" thickBot="1" x14ac:dyDescent="0.35">
      <c r="A37" s="638" t="s">
        <v>342</v>
      </c>
      <c r="B37" s="607" t="s">
        <v>504</v>
      </c>
      <c r="C37" s="607" t="s">
        <v>505</v>
      </c>
      <c r="D37" s="524" t="s">
        <v>345</v>
      </c>
      <c r="E37" s="607" t="s">
        <v>346</v>
      </c>
      <c r="F37" s="607" t="s">
        <v>347</v>
      </c>
      <c r="G37" s="609" t="s">
        <v>506</v>
      </c>
      <c r="H37" s="451" t="s">
        <v>29</v>
      </c>
      <c r="I37" s="611" t="s">
        <v>395</v>
      </c>
      <c r="J37" s="453" t="s">
        <v>446</v>
      </c>
      <c r="K37" s="454" t="s">
        <v>8</v>
      </c>
      <c r="L37" s="455" t="s">
        <v>8</v>
      </c>
      <c r="M37" s="451" t="s">
        <v>46</v>
      </c>
      <c r="N37" s="382" t="s">
        <v>354</v>
      </c>
      <c r="O37" s="459">
        <v>100</v>
      </c>
      <c r="P37" s="441" t="str">
        <f t="shared" ref="P37:P38" si="49">IF(O37&lt;=0,"",IF(O37&lt;=2,"Muy Baja",IF(O37&lt;=24,"Baja",IF(O37&lt;=500,"Media",IF(O37&lt;=5000,"Alta","Muy Alta")))))</f>
        <v>Media</v>
      </c>
      <c r="Q37" s="442">
        <f t="shared" ref="Q37:Q38" si="50">IF(P37="","",IF(P37="Muy Baja",0.2,IF(P37="Baja",0.4,IF(P37="Media",0.6,IF(P37="Alta",0.8,IF(P37="Muy Alta",1,))))))</f>
        <v>0.6</v>
      </c>
      <c r="R37" s="143" t="s">
        <v>490</v>
      </c>
      <c r="S37" s="143" t="s">
        <v>490</v>
      </c>
      <c r="T37" s="443" t="str">
        <f>IF(OR(S37='Tabla Impacto'!$C$11,S37='Tabla Impacto'!$D$11),"Leve",IF(OR(S37='Tabla Impacto'!$C$12,S37='Tabla Impacto'!$D$12),"Menor",IF(OR(S37='Tabla Impacto'!$C$13,S37='Tabla Impacto'!$D$13),"Moderado",IF(OR(S37='Tabla Impacto'!$C$14,S37='Tabla Impacto'!$D$14),"Mayor",IF(OR(S37='Tabla Impacto'!$C$15,S37='Tabla Impacto'!$D$15),"Catastrófico","")))))</f>
        <v>Mayor</v>
      </c>
      <c r="U37" s="444">
        <f t="shared" ref="U37:U38" si="51">IF(T37="","",IF(T37="Leve",0.2,IF(T37="Menor",0.4,IF(T37="Moderado",0.6,IF(T37="Mayor",0.8,IF(T37="Catastrófico",1,))))))</f>
        <v>0.8</v>
      </c>
      <c r="V37" s="445" t="str">
        <f t="shared" ref="V37:V38" si="52">IF(OR(AND(P37="Muy Baja",T37="Leve"),AND(P37="Muy Baja",T37="Menor"),AND(P37="Baja",T37="Leve")),"Bajo",IF(OR(AND(P37="Muy baja",T37="Moderado"),AND(P37="Baja",T37="Menor"),AND(P37="Baja",T37="Moderado"),AND(P37="Media",T37="Leve"),AND(P37="Media",T37="Menor"),AND(P37="Media",T37="Moderado"),AND(P37="Alta",T37="Leve"),AND(P37="Alta",T37="Menor")),"Moderado",IF(OR(AND(P37="Muy Baja",T37="Mayor"),AND(P37="Baja",T37="Mayor"),AND(P37="Media",T37="Mayor"),AND(P37="Alta",T37="Moderado"),AND(P37="Alta",T37="Mayor"),AND(P37="Muy Alta",T37="Leve"),AND(P37="Muy Alta",T37="Menor"),AND(P37="Muy Alta",T37="Moderado"),AND(P37="Muy Alta",T37="Mayor")),"Alto",IF(OR(AND(P37="Muy Baja",T37="Catastrófico"),AND(P37="Baja",T37="Catastrófico"),AND(P37="Media",T37="Catastrófico"),AND(P37="Alta",T37="Catastrófico"),AND(P37="Muy Alta",T37="Catastrófico")),"Extremo",""))))</f>
        <v>Alto</v>
      </c>
      <c r="W37" s="446" t="s">
        <v>397</v>
      </c>
      <c r="X37" s="350" t="s">
        <v>398</v>
      </c>
      <c r="Y37" s="468" t="str">
        <f t="shared" ref="Y37:Y38" si="53">IF(OR(Z37="Preventivo",Z37="Detectivo"),"Probabilidad",IF(Z37="Correctivo","Impacto",""))</f>
        <v>Probabilidad</v>
      </c>
      <c r="Z37" s="469" t="s">
        <v>358</v>
      </c>
      <c r="AA37" s="469" t="s">
        <v>359</v>
      </c>
      <c r="AB37" s="470" t="str">
        <f t="shared" ref="AB37:AB38" si="54">IF(AND(Z37="Preventivo",AA37="Automático"),"50%",IF(AND(Z37="Preventivo",AA37="Manual"),"40%",IF(AND(Z37="Detectivo",AA37="Automático"),"40%",IF(AND(Z37="Detectivo",AA37="Manual"),"30%",IF(AND(Z37="Correctivo",AA37="Automático"),"35%",IF(AND(Z37="Correctivo",AA37="Manual"),"25%",""))))))</f>
        <v>40%</v>
      </c>
      <c r="AC37" s="471" t="s">
        <v>360</v>
      </c>
      <c r="AD37" s="471" t="s">
        <v>361</v>
      </c>
      <c r="AE37" s="471" t="s">
        <v>362</v>
      </c>
      <c r="AF37" s="472">
        <f t="shared" ref="AF37:AF38" si="55">IFERROR(IF(Y37="Probabilidad",(Q37-(+Q37*AB37)),IF(Y37="Impacto",Q37,"")),"")</f>
        <v>0.36</v>
      </c>
      <c r="AG37" s="473" t="str">
        <f t="shared" ref="AG37:AG38" si="56">IFERROR(IF(AF37="","",IF(AF37&lt;=0.2,"Muy Baja",IF(AF37&lt;=0.4,"Baja",IF(AF37&lt;=0.6,"Media",IF(AF37&lt;=0.8,"Alta","Muy Alta"))))),"")</f>
        <v>Baja</v>
      </c>
      <c r="AH37" s="470">
        <f t="shared" ref="AH37:AH38" si="57">+AF37</f>
        <v>0.36</v>
      </c>
      <c r="AI37" s="473" t="str">
        <f t="shared" ref="AI37:AI38" si="58">IFERROR(IF(AJ37="","",IF(AJ37&lt;=0.2,"Leve",IF(AJ37&lt;=0.4,"Menor",IF(AJ37&lt;=0.6,"Moderado",IF(AJ37&lt;=0.8,"Mayor","Catastrófico"))))),"")</f>
        <v>Mayor</v>
      </c>
      <c r="AJ37" s="470">
        <f t="shared" ref="AJ37:AJ38" si="59">IFERROR(IF(Y37="Impacto",(U37-(+U37*AB37)),IF(Y37="Probabilidad",U37,"")),"")</f>
        <v>0.8</v>
      </c>
      <c r="AK37" s="474" t="str">
        <f t="shared" ref="AK37:AK38" si="60">IFERROR(IF(OR(AND(AG37="Muy Baja",AI37="Leve"),AND(AG37="Muy Baja",AI37="Menor"),AND(AG37="Baja",AI37="Leve")),"Bajo",IF(OR(AND(AG37="Muy baja",AI37="Moderado"),AND(AG37="Baja",AI37="Menor"),AND(AG37="Baja",AI37="Moderado"),AND(AG37="Media",AI37="Leve"),AND(AG37="Media",AI37="Menor"),AND(AG37="Media",AI37="Moderado"),AND(AG37="Alta",AI37="Leve"),AND(AG37="Alta",AI37="Menor")),"Moderado",IF(OR(AND(AG37="Muy Baja",AI37="Mayor"),AND(AG37="Baja",AI37="Mayor"),AND(AG37="Media",AI37="Mayor"),AND(AG37="Alta",AI37="Moderado"),AND(AG37="Alta",AI37="Mayor"),AND(AG37="Muy Alta",AI37="Leve"),AND(AG37="Muy Alta",AI37="Menor"),AND(AG37="Muy Alta",AI37="Moderado"),AND(AG37="Muy Alta",AI37="Mayor")),"Alto",IF(OR(AND(AG37="Muy Baja",AI37="Catastrófico"),AND(AG37="Baja",AI37="Catastrófico"),AND(AG37="Media",AI37="Catastrófico"),AND(AG37="Alta",AI37="Catastrófico"),AND(AG37="Muy Alta",AI37="Catastrófico")),"Extremo","")))),"")</f>
        <v>Alto</v>
      </c>
      <c r="AL37" s="471" t="s">
        <v>363</v>
      </c>
      <c r="AM37" s="475" t="s">
        <v>447</v>
      </c>
      <c r="AN37" s="251" t="s">
        <v>507</v>
      </c>
      <c r="AO37" s="392">
        <v>44927</v>
      </c>
      <c r="AP37" s="392">
        <v>45291</v>
      </c>
      <c r="AQ37" s="476" t="s">
        <v>437</v>
      </c>
      <c r="AR37" s="477" t="s">
        <v>449</v>
      </c>
      <c r="AS37" s="461" t="s">
        <v>368</v>
      </c>
      <c r="AT37" s="424">
        <v>0.6</v>
      </c>
      <c r="AU37" s="463"/>
      <c r="AV37" s="426"/>
      <c r="AW37" s="427"/>
    </row>
    <row r="38" spans="1:77" s="428" customFormat="1" ht="285.75" hidden="1" customHeight="1" thickBot="1" x14ac:dyDescent="0.35">
      <c r="A38" s="639"/>
      <c r="B38" s="608"/>
      <c r="C38" s="608"/>
      <c r="D38" s="524" t="s">
        <v>345</v>
      </c>
      <c r="E38" s="608"/>
      <c r="F38" s="608" t="s">
        <v>347</v>
      </c>
      <c r="G38" s="610"/>
      <c r="H38" s="452" t="s">
        <v>491</v>
      </c>
      <c r="I38" s="612"/>
      <c r="J38" s="464" t="s">
        <v>446</v>
      </c>
      <c r="K38" s="456" t="s">
        <v>8</v>
      </c>
      <c r="L38" s="457" t="s">
        <v>8</v>
      </c>
      <c r="M38" s="458" t="s">
        <v>78</v>
      </c>
      <c r="N38" s="460" t="s">
        <v>354</v>
      </c>
      <c r="O38" s="461">
        <v>100</v>
      </c>
      <c r="P38" s="447" t="str">
        <f t="shared" si="49"/>
        <v>Media</v>
      </c>
      <c r="Q38" s="448">
        <f t="shared" si="50"/>
        <v>0.6</v>
      </c>
      <c r="R38" s="143" t="s">
        <v>490</v>
      </c>
      <c r="S38" s="143" t="s">
        <v>490</v>
      </c>
      <c r="T38" s="447" t="str">
        <f>IF(OR(S38='Tabla Impacto'!$C$11,S38='Tabla Impacto'!$D$11),"Leve",IF(OR(S38='Tabla Impacto'!$C$12,S38='Tabla Impacto'!$D$12),"Menor",IF(OR(S38='Tabla Impacto'!$C$13,S38='Tabla Impacto'!$D$13),"Moderado",IF(OR(S38='Tabla Impacto'!$C$14,S38='Tabla Impacto'!$D$14),"Mayor",IF(OR(S38='Tabla Impacto'!$C$15,S38='Tabla Impacto'!$D$15),"Catastrófico","")))))</f>
        <v>Mayor</v>
      </c>
      <c r="U38" s="448">
        <f t="shared" si="51"/>
        <v>0.8</v>
      </c>
      <c r="V38" s="449" t="str">
        <f t="shared" si="52"/>
        <v>Alto</v>
      </c>
      <c r="W38" s="450" t="s">
        <v>430</v>
      </c>
      <c r="X38" s="215" t="s">
        <v>431</v>
      </c>
      <c r="Y38" s="479" t="str">
        <f t="shared" si="53"/>
        <v>Probabilidad</v>
      </c>
      <c r="Z38" s="480" t="s">
        <v>358</v>
      </c>
      <c r="AA38" s="480" t="s">
        <v>359</v>
      </c>
      <c r="AB38" s="481" t="str">
        <f t="shared" si="54"/>
        <v>40%</v>
      </c>
      <c r="AC38" s="482" t="s">
        <v>360</v>
      </c>
      <c r="AD38" s="482" t="s">
        <v>361</v>
      </c>
      <c r="AE38" s="482" t="s">
        <v>362</v>
      </c>
      <c r="AF38" s="483">
        <f t="shared" si="55"/>
        <v>0.36</v>
      </c>
      <c r="AG38" s="484" t="str">
        <f t="shared" si="56"/>
        <v>Baja</v>
      </c>
      <c r="AH38" s="481">
        <f t="shared" si="57"/>
        <v>0.36</v>
      </c>
      <c r="AI38" s="484" t="str">
        <f t="shared" si="58"/>
        <v>Mayor</v>
      </c>
      <c r="AJ38" s="481">
        <f t="shared" si="59"/>
        <v>0.8</v>
      </c>
      <c r="AK38" s="485" t="str">
        <f t="shared" si="60"/>
        <v>Alto</v>
      </c>
      <c r="AL38" s="486" t="s">
        <v>363</v>
      </c>
      <c r="AM38" s="487" t="s">
        <v>494</v>
      </c>
      <c r="AN38" s="251" t="s">
        <v>507</v>
      </c>
      <c r="AO38" s="392">
        <v>44927</v>
      </c>
      <c r="AP38" s="392">
        <v>45291</v>
      </c>
      <c r="AQ38" s="476" t="s">
        <v>437</v>
      </c>
      <c r="AR38" s="477" t="s">
        <v>495</v>
      </c>
      <c r="AS38" s="461" t="s">
        <v>368</v>
      </c>
      <c r="AT38" s="424">
        <v>0</v>
      </c>
      <c r="AU38" s="463"/>
      <c r="AV38" s="426"/>
      <c r="AW38" s="427"/>
    </row>
    <row r="39" spans="1:77" s="428" customFormat="1" ht="123" hidden="1" customHeight="1" thickBot="1" x14ac:dyDescent="0.35">
      <c r="A39" s="600" t="s">
        <v>393</v>
      </c>
      <c r="B39" s="653" t="s">
        <v>504</v>
      </c>
      <c r="C39" s="653" t="s">
        <v>505</v>
      </c>
      <c r="D39" s="524" t="s">
        <v>345</v>
      </c>
      <c r="E39" s="602" t="s">
        <v>346</v>
      </c>
      <c r="F39" s="624" t="s">
        <v>347</v>
      </c>
      <c r="G39" s="643" t="s">
        <v>508</v>
      </c>
      <c r="H39" s="158" t="s">
        <v>459</v>
      </c>
      <c r="I39" s="640" t="s">
        <v>460</v>
      </c>
      <c r="J39" s="663" t="s">
        <v>351</v>
      </c>
      <c r="K39" s="664" t="s">
        <v>8</v>
      </c>
      <c r="L39" s="667" t="s">
        <v>8</v>
      </c>
      <c r="M39" s="158" t="s">
        <v>461</v>
      </c>
      <c r="N39" s="156" t="s">
        <v>354</v>
      </c>
      <c r="O39" s="140">
        <v>100</v>
      </c>
      <c r="P39" s="141" t="str">
        <f>IF(O39&lt;=0,"",IF(O39&lt;=2,"Muy Baja",IF(O39&lt;=24,"Baja",IF(O39&lt;=500,"Media",IF(O39&lt;=5000,"Alta","Muy Alta")))))</f>
        <v>Media</v>
      </c>
      <c r="Q39" s="142">
        <f>IF(P39="","",IF(P39="Muy Baja",0.2,IF(P39="Baja",0.4,IF(P39="Media",0.6,IF(P39="Alta",0.8,IF(P39="Muy Alta",1,))))))</f>
        <v>0.6</v>
      </c>
      <c r="R39" s="143" t="s">
        <v>380</v>
      </c>
      <c r="S39" s="144" t="str">
        <f>IF(NOT(ISERROR(MATCH(R39,'Tabla Impacto'!$B$221:$B$223,0))),'Tabla Impacto'!$F$223&amp;"Por favor no seleccionar los criterios de impacto(Afectación Económica o presupuestal y Pérdida Reputacional)",R39)</f>
        <v xml:space="preserve">     El riesgo afecta la imagen de la entidad a nivel nacional, con efecto publicitarios sostenible a nivel país</v>
      </c>
      <c r="T39" s="141" t="str">
        <f>IF(OR(S39='Tabla Impacto'!$C$11,S39='Tabla Impacto'!$D$11),"Leve",IF(OR(S39='Tabla Impacto'!$C$12,S39='Tabla Impacto'!$D$12),"Menor",IF(OR(S39='Tabla Impacto'!$C$13,S39='Tabla Impacto'!$D$13),"Moderado",IF(OR(S39='Tabla Impacto'!$C$14,S39='Tabla Impacto'!$D$14),"Mayor",IF(OR(S39='Tabla Impacto'!$C$15,S39='Tabla Impacto'!$D$15),"Catastrófico","")))))</f>
        <v>Catastrófico</v>
      </c>
      <c r="U39" s="144">
        <f>IF(T39="","",IF(T39="Leve",0.2,IF(T39="Menor",0.4,IF(T39="Moderado",0.6,IF(T39="Mayor",0.8,IF(T39="Catastrófico",1,))))))</f>
        <v>1</v>
      </c>
      <c r="V39" s="153" t="str">
        <f>IF(OR(AND(P39="Muy Baja",T39="Leve"),AND(P39="Muy Baja",T39="Menor"),AND(P39="Baja",T39="Leve")),"Bajo",IF(OR(AND(P39="Muy baja",T39="Moderado"),AND(P39="Baja",T39="Menor"),AND(P39="Baja",T39="Moderado"),AND(P39="Media",T39="Leve"),AND(P39="Media",T39="Menor"),AND(P39="Media",T39="Moderado"),AND(P39="Alta",T39="Leve"),AND(P39="Alta",T39="Menor")),"Moderado",IF(OR(AND(P39="Muy Baja",T39="Mayor"),AND(P39="Baja",T39="Mayor"),AND(P39="Media",T39="Mayor"),AND(P39="Alta",T39="Moderado"),AND(P39="Alta",T39="Mayor"),AND(P39="Muy Alta",T39="Leve"),AND(P39="Muy Alta",T39="Menor"),AND(P39="Muy Alta",T39="Moderado"),AND(P39="Muy Alta",T39="Mayor")),"Alto",IF(OR(AND(P39="Muy Baja",T39="Catastrófico"),AND(P39="Baja",T39="Catastrófico"),AND(P39="Media",T39="Catastrófico"),AND(P39="Alta",T39="Catastrófico"),AND(P39="Muy Alta",T39="Catastrófico")),"Extremo",""))))</f>
        <v>Extremo</v>
      </c>
      <c r="W39" s="154" t="s">
        <v>356</v>
      </c>
      <c r="X39" s="209" t="s">
        <v>421</v>
      </c>
      <c r="Y39" s="145" t="str">
        <f>IF(OR(Z39="Preventivo",Z39="Detectivo"),"Probabilidad",IF(Z39="Correctivo","Impacto",""))</f>
        <v>Impacto</v>
      </c>
      <c r="Z39" s="146" t="s">
        <v>462</v>
      </c>
      <c r="AA39" s="146" t="s">
        <v>359</v>
      </c>
      <c r="AB39" s="147" t="str">
        <f>IF(AND(Z39="Preventivo",AA39="Automático"),"50%",IF(AND(Z39="Preventivo",AA39="Manual"),"40%",IF(AND(Z39="Detectivo",AA39="Automático"),"40%",IF(AND(Z39="Detectivo",AA39="Manual"),"30%",IF(AND(Z39="Correctivo",AA39="Automático"),"35%",IF(AND(Z39="Correctivo",AA39="Manual"),"25%",""))))))</f>
        <v>25%</v>
      </c>
      <c r="AC39" s="146" t="s">
        <v>360</v>
      </c>
      <c r="AD39" s="146" t="s">
        <v>361</v>
      </c>
      <c r="AE39" s="146" t="s">
        <v>362</v>
      </c>
      <c r="AF39" s="148">
        <f>IFERROR(IF(Y39="Probabilidad",(Q39-(+Q39*AB39)),IF(Y39="Impacto",Q39,"")),"")</f>
        <v>0.6</v>
      </c>
      <c r="AG39" s="149" t="str">
        <f>IFERROR(IF(AF39="","",IF(AF39&lt;=0.2,"Muy Baja",IF(AF39&lt;=0.4,"Baja",IF(AF39&lt;=0.6,"Media",IF(AF39&lt;=0.8,"Alta","Muy Alta"))))),"")</f>
        <v>Media</v>
      </c>
      <c r="AH39" s="147">
        <f>+AF39</f>
        <v>0.6</v>
      </c>
      <c r="AI39" s="149" t="str">
        <f>IFERROR(IF(AJ39="","",IF(AJ39&lt;=0.2,"Leve",IF(AJ39&lt;=0.4,"Menor",IF(AJ39&lt;=0.6,"Moderado",IF(AJ39&lt;=0.8,"Mayor","Catastrófico"))))),"")</f>
        <v>Mayor</v>
      </c>
      <c r="AJ39" s="147">
        <f>IFERROR(IF(Y39="Impacto",(U39-(+U39*AB39)),IF(Y39="Probabilidad",U39,"")),"")</f>
        <v>0.75</v>
      </c>
      <c r="AK39" s="150" t="str">
        <f>IFERROR(IF(OR(AND(AG39="Muy Baja",AI39="Leve"),AND(AG39="Muy Baja",AI39="Menor"),AND(AG39="Baja",AI39="Leve")),"Bajo",IF(OR(AND(AG39="Muy baja",AI39="Moderado"),AND(AG39="Baja",AI39="Menor"),AND(AG39="Baja",AI39="Moderado"),AND(AG39="Media",AI39="Leve"),AND(AG39="Media",AI39="Menor"),AND(AG39="Media",AI39="Moderado"),AND(AG39="Alta",AI39="Leve"),AND(AG39="Alta",AI39="Menor")),"Moderado",IF(OR(AND(AG39="Muy Baja",AI39="Mayor"),AND(AG39="Baja",AI39="Mayor"),AND(AG39="Media",AI39="Mayor"),AND(AG39="Alta",AI39="Moderado"),AND(AG39="Alta",AI39="Mayor"),AND(AG39="Muy Alta",AI39="Leve"),AND(AG39="Muy Alta",AI39="Menor"),AND(AG39="Muy Alta",AI39="Moderado"),AND(AG39="Muy Alta",AI39="Mayor")),"Alto",IF(OR(AND(AG39="Muy Baja",AI39="Catastrófico"),AND(AG39="Baja",AI39="Catastrófico"),AND(AG39="Media",AI39="Catastrófico"),AND(AG39="Alta",AI39="Catastrófico"),AND(AG39="Muy Alta",AI39="Catastrófico")),"Extremo","")))),"")</f>
        <v>Alto</v>
      </c>
      <c r="AL39" s="146" t="s">
        <v>363</v>
      </c>
      <c r="AM39" s="129" t="s">
        <v>413</v>
      </c>
      <c r="AN39" s="351" t="s">
        <v>507</v>
      </c>
      <c r="AO39" s="392">
        <v>44927</v>
      </c>
      <c r="AP39" s="392">
        <v>45291</v>
      </c>
      <c r="AQ39" s="312" t="s">
        <v>437</v>
      </c>
      <c r="AR39" s="155" t="s">
        <v>463</v>
      </c>
      <c r="AS39" s="392" t="s">
        <v>368</v>
      </c>
      <c r="AT39" s="183">
        <v>0.9</v>
      </c>
      <c r="AU39" s="463"/>
      <c r="AV39" s="426"/>
      <c r="AW39" s="427"/>
    </row>
    <row r="40" spans="1:77" s="428" customFormat="1" ht="175.5" hidden="1" customHeight="1" thickBot="1" x14ac:dyDescent="0.35">
      <c r="A40" s="601"/>
      <c r="B40" s="606"/>
      <c r="C40" s="606"/>
      <c r="D40" s="524" t="s">
        <v>345</v>
      </c>
      <c r="E40" s="603"/>
      <c r="F40" s="625"/>
      <c r="G40" s="629"/>
      <c r="H40" s="253" t="s">
        <v>23</v>
      </c>
      <c r="I40" s="617"/>
      <c r="J40" s="637"/>
      <c r="K40" s="608"/>
      <c r="L40" s="614"/>
      <c r="M40" s="253" t="s">
        <v>387</v>
      </c>
      <c r="N40" s="157" t="s">
        <v>354</v>
      </c>
      <c r="O40" s="170">
        <v>100</v>
      </c>
      <c r="P40" s="171" t="str">
        <f>IF(O40&lt;=0,"",IF(O40&lt;=2,"Muy Baja",IF(O40&lt;=24,"Baja",IF(O40&lt;=500,"Media",IF(O40&lt;=5000,"Alta","Muy Alta")))))</f>
        <v>Media</v>
      </c>
      <c r="Q40" s="172">
        <f>IF(P40="","",IF(P40="Muy Baja",0.2,IF(P40="Baja",0.4,IF(P40="Media",0.6,IF(P40="Alta",0.8,IF(P40="Muy Alta",1,))))))</f>
        <v>0.6</v>
      </c>
      <c r="R40" s="143" t="s">
        <v>380</v>
      </c>
      <c r="S40" s="174" t="str">
        <f>IF(NOT(ISERROR(MATCH(R40,'Tabla Impacto'!$B$221:$B$223,0))),'Tabla Impacto'!$F$223&amp;"Por favor no seleccionar los criterios de impacto(Afectación Económica o presupuestal y Pérdida Reputacional)",R40)</f>
        <v xml:space="preserve">     El riesgo afecta la imagen de la entidad a nivel nacional, con efecto publicitarios sostenible a nivel país</v>
      </c>
      <c r="T40" s="171" t="str">
        <f>IF(OR(S40='Tabla Impacto'!$C$11,S40='Tabla Impacto'!$D$11),"Leve",IF(OR(S40='Tabla Impacto'!$C$12,S40='Tabla Impacto'!$D$12),"Menor",IF(OR(S40='Tabla Impacto'!$C$13,S40='Tabla Impacto'!$D$13),"Moderado",IF(OR(S40='Tabla Impacto'!$C$14,S40='Tabla Impacto'!$D$14),"Mayor",IF(OR(S40='Tabla Impacto'!$C$15,S40='Tabla Impacto'!$D$15),"Catastrófico","")))))</f>
        <v>Catastrófico</v>
      </c>
      <c r="U40" s="174">
        <f>IF(T40="","",IF(T40="Leve",0.2,IF(T40="Menor",0.4,IF(T40="Moderado",0.6,IF(T40="Mayor",0.8,IF(T40="Catastrófico",1,))))))</f>
        <v>1</v>
      </c>
      <c r="V40" s="175" t="str">
        <f>IF(OR(AND(P40="Muy Baja",T40="Leve"),AND(P40="Muy Baja",T40="Menor"),AND(P40="Baja",T40="Leve")),"Bajo",IF(OR(AND(P40="Muy baja",T40="Moderado"),AND(P40="Baja",T40="Menor"),AND(P40="Baja",T40="Moderado"),AND(P40="Media",T40="Leve"),AND(P40="Media",T40="Menor"),AND(P40="Media",T40="Moderado"),AND(P40="Alta",T40="Leve"),AND(P40="Alta",T40="Menor")),"Moderado",IF(OR(AND(P40="Muy Baja",T40="Mayor"),AND(P40="Baja",T40="Mayor"),AND(P40="Media",T40="Mayor"),AND(P40="Alta",T40="Moderado"),AND(P40="Alta",T40="Mayor"),AND(P40="Muy Alta",T40="Leve"),AND(P40="Muy Alta",T40="Menor"),AND(P40="Muy Alta",T40="Moderado"),AND(P40="Muy Alta",T40="Mayor")),"Alto",IF(OR(AND(P40="Muy Baja",T40="Catastrófico"),AND(P40="Baja",T40="Catastrófico"),AND(P40="Media",T40="Catastrófico"),AND(P40="Alta",T40="Catastrófico"),AND(P40="Muy Alta",T40="Catastrófico")),"Extremo",""))))</f>
        <v>Extremo</v>
      </c>
      <c r="W40" s="176" t="s">
        <v>430</v>
      </c>
      <c r="X40" s="215" t="s">
        <v>431</v>
      </c>
      <c r="Y40" s="313" t="str">
        <f>IF(OR(Z40="Preventivo",Z40="Detectivo"),"Probabilidad",IF(Z40="Correctivo","Impacto",""))</f>
        <v>Probabilidad</v>
      </c>
      <c r="Z40" s="177" t="s">
        <v>358</v>
      </c>
      <c r="AA40" s="177" t="s">
        <v>359</v>
      </c>
      <c r="AB40" s="178" t="str">
        <f>IF(AND(Z40="Preventivo",AA40="Automático"),"50%",IF(AND(Z40="Preventivo",AA40="Manual"),"40%",IF(AND(Z40="Detectivo",AA40="Automático"),"40%",IF(AND(Z40="Detectivo",AA40="Manual"),"30%",IF(AND(Z40="Correctivo",AA40="Automático"),"35%",IF(AND(Z40="Correctivo",AA40="Manual"),"25%",""))))))</f>
        <v>40%</v>
      </c>
      <c r="AC40" s="177" t="s">
        <v>360</v>
      </c>
      <c r="AD40" s="177" t="s">
        <v>361</v>
      </c>
      <c r="AE40" s="177" t="s">
        <v>362</v>
      </c>
      <c r="AF40" s="179">
        <f>IFERROR(IF(Y40="Probabilidad",(Q40-(+Q40*AB40)),IF(Y40="Impacto",Q40,"")),"")</f>
        <v>0.36</v>
      </c>
      <c r="AG40" s="180" t="str">
        <f>IFERROR(IF(AF40="","",IF(AF40&lt;=0.2,"Muy Baja",IF(AF40&lt;=0.4,"Baja",IF(AF40&lt;=0.6,"Media",IF(AF40&lt;=0.8,"Alta","Muy Alta"))))),"")</f>
        <v>Baja</v>
      </c>
      <c r="AH40" s="178">
        <f>+AF40</f>
        <v>0.36</v>
      </c>
      <c r="AI40" s="180" t="str">
        <f>IFERROR(IF(AJ40="","",IF(AJ40&lt;=0.2,"Leve",IF(AJ40&lt;=0.4,"Menor",IF(AJ40&lt;=0.6,"Moderado",IF(AJ40&lt;=0.8,"Mayor","Catastrófico"))))),"")</f>
        <v>Catastrófico</v>
      </c>
      <c r="AJ40" s="178">
        <f>IFERROR(IF(Y40="Impacto",(U40-(+U40*AB40)),IF(Y40="Probabilidad",U40,"")),"")</f>
        <v>1</v>
      </c>
      <c r="AK40" s="181" t="str">
        <f>IFERROR(IF(OR(AND(AG40="Muy Baja",AI40="Leve"),AND(AG40="Muy Baja",AI40="Menor"),AND(AG40="Baja",AI40="Leve")),"Bajo",IF(OR(AND(AG40="Muy baja",AI40="Moderado"),AND(AG40="Baja",AI40="Menor"),AND(AG40="Baja",AI40="Moderado"),AND(AG40="Media",AI40="Leve"),AND(AG40="Media",AI40="Menor"),AND(AG40="Media",AI40="Moderado"),AND(AG40="Alta",AI40="Leve"),AND(AG40="Alta",AI40="Menor")),"Moderado",IF(OR(AND(AG40="Muy Baja",AI40="Mayor"),AND(AG40="Baja",AI40="Mayor"),AND(AG40="Media",AI40="Mayor"),AND(AG40="Alta",AI40="Moderado"),AND(AG40="Alta",AI40="Mayor"),AND(AG40="Muy Alta",AI40="Leve"),AND(AG40="Muy Alta",AI40="Menor"),AND(AG40="Muy Alta",AI40="Moderado"),AND(AG40="Muy Alta",AI40="Mayor")),"Alto",IF(OR(AND(AG40="Muy Baja",AI40="Catastrófico"),AND(AG40="Baja",AI40="Catastrófico"),AND(AG40="Media",AI40="Catastrófico"),AND(AG40="Alta",AI40="Catastrófico"),AND(AG40="Muy Alta",AI40="Catastrófico")),"Extremo","")))),"")</f>
        <v>Extremo</v>
      </c>
      <c r="AL40" s="177" t="s">
        <v>363</v>
      </c>
      <c r="AM40" s="310" t="s">
        <v>464</v>
      </c>
      <c r="AN40" s="351" t="s">
        <v>507</v>
      </c>
      <c r="AO40" s="392">
        <v>44927</v>
      </c>
      <c r="AP40" s="392">
        <v>45291</v>
      </c>
      <c r="AQ40" s="169" t="s">
        <v>465</v>
      </c>
      <c r="AR40" s="169" t="s">
        <v>466</v>
      </c>
      <c r="AS40" s="392" t="s">
        <v>368</v>
      </c>
      <c r="AT40" s="183">
        <v>1</v>
      </c>
      <c r="AU40" s="463"/>
      <c r="AV40" s="426"/>
      <c r="AW40" s="427"/>
    </row>
    <row r="41" spans="1:77" ht="184.5" hidden="1" customHeight="1" thickBot="1" x14ac:dyDescent="0.35">
      <c r="A41" s="607" t="s">
        <v>406</v>
      </c>
      <c r="B41" s="607" t="s">
        <v>504</v>
      </c>
      <c r="C41" s="607" t="s">
        <v>468</v>
      </c>
      <c r="D41" s="524" t="s">
        <v>345</v>
      </c>
      <c r="E41" s="615" t="s">
        <v>346</v>
      </c>
      <c r="F41" s="379" t="s">
        <v>347</v>
      </c>
      <c r="G41" s="613" t="s">
        <v>506</v>
      </c>
      <c r="H41" s="606" t="s">
        <v>13</v>
      </c>
      <c r="I41" s="616" t="s">
        <v>479</v>
      </c>
      <c r="J41" s="636" t="s">
        <v>370</v>
      </c>
      <c r="K41" s="607" t="s">
        <v>8</v>
      </c>
      <c r="L41" s="630" t="s">
        <v>8</v>
      </c>
      <c r="M41" s="632" t="s">
        <v>353</v>
      </c>
      <c r="N41" s="634" t="s">
        <v>354</v>
      </c>
      <c r="O41" s="462">
        <v>100</v>
      </c>
      <c r="P41" s="152" t="str">
        <f t="shared" ref="P41:P44" si="61">IF(O41&lt;=0,"",IF(O41&lt;=2,"Muy Baja",IF(O41&lt;=24,"Baja",IF(O41&lt;=500,"Media",IF(O41&lt;=5000,"Alta","Muy Alta")))))</f>
        <v>Media</v>
      </c>
      <c r="Q41" s="318">
        <f t="shared" ref="Q41:Q44" si="62">IF(P41="","",IF(P41="Muy Baja",0.2,IF(P41="Baja",0.4,IF(P41="Media",0.6,IF(P41="Alta",0.8,IF(P41="Muy Alta",1,))))))</f>
        <v>0.6</v>
      </c>
      <c r="R41" s="190" t="s">
        <v>480</v>
      </c>
      <c r="S41" s="319" t="s">
        <v>480</v>
      </c>
      <c r="T41" s="334" t="s">
        <v>481</v>
      </c>
      <c r="U41" s="504">
        <v>0.8</v>
      </c>
      <c r="V41" s="335" t="s">
        <v>482</v>
      </c>
      <c r="W41" s="492" t="s">
        <v>389</v>
      </c>
      <c r="X41" s="440" t="s">
        <v>483</v>
      </c>
      <c r="Y41" s="505" t="s">
        <v>471</v>
      </c>
      <c r="Z41" s="506" t="s">
        <v>358</v>
      </c>
      <c r="AA41" s="506" t="s">
        <v>359</v>
      </c>
      <c r="AB41" s="507">
        <v>0.4</v>
      </c>
      <c r="AC41" s="506" t="s">
        <v>360</v>
      </c>
      <c r="AD41" s="506" t="s">
        <v>361</v>
      </c>
      <c r="AE41" s="506" t="s">
        <v>472</v>
      </c>
      <c r="AF41" s="508">
        <v>0.12</v>
      </c>
      <c r="AG41" s="342" t="s">
        <v>473</v>
      </c>
      <c r="AH41" s="507">
        <v>0.12</v>
      </c>
      <c r="AI41" s="343" t="s">
        <v>481</v>
      </c>
      <c r="AJ41" s="507">
        <v>0.8</v>
      </c>
      <c r="AK41" s="344" t="s">
        <v>482</v>
      </c>
      <c r="AL41" s="509" t="s">
        <v>363</v>
      </c>
      <c r="AM41" s="510" t="s">
        <v>484</v>
      </c>
      <c r="AN41" s="202" t="s">
        <v>507</v>
      </c>
      <c r="AO41" s="392">
        <v>44927</v>
      </c>
      <c r="AP41" s="392">
        <v>45291</v>
      </c>
      <c r="AQ41" s="436" t="s">
        <v>400</v>
      </c>
      <c r="AR41" s="439" t="s">
        <v>509</v>
      </c>
      <c r="AS41" s="392" t="s">
        <v>368</v>
      </c>
      <c r="AT41" s="183">
        <v>0.8</v>
      </c>
      <c r="AV41" s="211"/>
      <c r="AW41" s="23"/>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row>
    <row r="42" spans="1:77" ht="151.5" hidden="1" customHeight="1" thickBot="1" x14ac:dyDescent="0.35">
      <c r="A42" s="608"/>
      <c r="B42" s="608"/>
      <c r="C42" s="608"/>
      <c r="D42" s="524" t="s">
        <v>345</v>
      </c>
      <c r="E42" s="608"/>
      <c r="F42" s="285" t="s">
        <v>347</v>
      </c>
      <c r="G42" s="614"/>
      <c r="H42" s="603"/>
      <c r="I42" s="617"/>
      <c r="J42" s="637"/>
      <c r="K42" s="608"/>
      <c r="L42" s="631"/>
      <c r="M42" s="633"/>
      <c r="N42" s="635"/>
      <c r="O42" s="465">
        <v>100</v>
      </c>
      <c r="P42" s="320" t="str">
        <f t="shared" si="61"/>
        <v>Media</v>
      </c>
      <c r="Q42" s="321">
        <f t="shared" si="62"/>
        <v>0.6</v>
      </c>
      <c r="R42" s="322" t="s">
        <v>480</v>
      </c>
      <c r="S42" s="321" t="s">
        <v>480</v>
      </c>
      <c r="T42" s="336" t="s">
        <v>481</v>
      </c>
      <c r="U42" s="512">
        <v>0.8</v>
      </c>
      <c r="V42" s="337" t="s">
        <v>482</v>
      </c>
      <c r="W42" s="493" t="s">
        <v>372</v>
      </c>
      <c r="X42" s="399" t="s">
        <v>373</v>
      </c>
      <c r="Y42" s="500" t="s">
        <v>249</v>
      </c>
      <c r="Z42" s="513" t="s">
        <v>462</v>
      </c>
      <c r="AA42" s="513" t="s">
        <v>359</v>
      </c>
      <c r="AB42" s="502">
        <v>0.25</v>
      </c>
      <c r="AC42" s="513" t="s">
        <v>360</v>
      </c>
      <c r="AD42" s="513" t="s">
        <v>361</v>
      </c>
      <c r="AE42" s="513" t="s">
        <v>362</v>
      </c>
      <c r="AF42" s="503">
        <v>0.2</v>
      </c>
      <c r="AG42" s="339" t="s">
        <v>473</v>
      </c>
      <c r="AH42" s="502">
        <v>0.2</v>
      </c>
      <c r="AI42" s="345" t="s">
        <v>486</v>
      </c>
      <c r="AJ42" s="502">
        <v>0.6</v>
      </c>
      <c r="AK42" s="346" t="s">
        <v>486</v>
      </c>
      <c r="AL42" s="501" t="s">
        <v>363</v>
      </c>
      <c r="AM42" s="437" t="s">
        <v>487</v>
      </c>
      <c r="AN42" s="202" t="s">
        <v>507</v>
      </c>
      <c r="AO42" s="392">
        <v>44927</v>
      </c>
      <c r="AP42" s="392">
        <v>45291</v>
      </c>
      <c r="AQ42" s="436" t="s">
        <v>384</v>
      </c>
      <c r="AR42" s="438" t="s">
        <v>510</v>
      </c>
      <c r="AS42" s="392" t="s">
        <v>368</v>
      </c>
      <c r="AT42" s="183">
        <v>0.6</v>
      </c>
      <c r="AV42" s="211"/>
      <c r="AW42" s="23"/>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row>
    <row r="43" spans="1:77" s="5" customFormat="1" ht="180.75" customHeight="1" thickBot="1" x14ac:dyDescent="0.35">
      <c r="A43" s="622" t="s">
        <v>342</v>
      </c>
      <c r="B43" s="602" t="s">
        <v>511</v>
      </c>
      <c r="C43" s="602" t="s">
        <v>512</v>
      </c>
      <c r="D43" s="524" t="s">
        <v>345</v>
      </c>
      <c r="E43" s="602" t="s">
        <v>346</v>
      </c>
      <c r="F43" s="624" t="s">
        <v>347</v>
      </c>
      <c r="G43" s="624" t="s">
        <v>513</v>
      </c>
      <c r="H43" s="158" t="s">
        <v>349</v>
      </c>
      <c r="I43" s="429" t="s">
        <v>350</v>
      </c>
      <c r="J43" s="380" t="s">
        <v>351</v>
      </c>
      <c r="K43" s="380" t="s">
        <v>8</v>
      </c>
      <c r="L43" s="380" t="s">
        <v>352</v>
      </c>
      <c r="M43" s="381" t="s">
        <v>353</v>
      </c>
      <c r="N43" s="382" t="s">
        <v>354</v>
      </c>
      <c r="O43" s="382">
        <v>1</v>
      </c>
      <c r="P43" s="383" t="str">
        <f t="shared" si="61"/>
        <v>Muy Baja</v>
      </c>
      <c r="Q43" s="384">
        <f t="shared" si="62"/>
        <v>0.2</v>
      </c>
      <c r="R43" s="143" t="s">
        <v>490</v>
      </c>
      <c r="S43" s="143" t="s">
        <v>490</v>
      </c>
      <c r="T43" s="383" t="str">
        <f>IF(OR(S43='Tabla Impacto'!$C$11,S43='Tabla Impacto'!$D$11),"Leve",IF(OR(S43='Tabla Impacto'!$C$12,S43='Tabla Impacto'!$D$12),"Menor",IF(OR(S43='Tabla Impacto'!$C$13,S43='Tabla Impacto'!$D$13),"Moderado",IF(OR(S43='Tabla Impacto'!$C$14,S43='Tabla Impacto'!$D$14),"Mayor",IF(OR(S43='Tabla Impacto'!$C$15,S43='Tabla Impacto'!$D$15),"Catastrófico","")))))</f>
        <v>Mayor</v>
      </c>
      <c r="U43" s="386">
        <f t="shared" ref="U43:U44" si="63">IF(T43="","",IF(T43="Leve",0.2,IF(T43="Menor",0.4,IF(T43="Moderado",0.6,IF(T43="Mayor",0.8,IF(T43="Catastrófico",1,))))))</f>
        <v>0.8</v>
      </c>
      <c r="V43" s="383" t="str">
        <f t="shared" ref="V43:V44" si="64">IF(OR(AND(P43="Muy Baja",T43="Leve"),AND(P43="Muy Baja",T43="Menor"),AND(P43="Baja",T43="Leve")),"Bajo",IF(OR(AND(P43="Muy baja",T43="Moderado"),AND(P43="Baja",T43="Menor"),AND(P43="Baja",T43="Moderado"),AND(P43="Media",T43="Leve"),AND(P43="Media",T43="Menor"),AND(P43="Media",T43="Moderado"),AND(P43="Alta",T43="Leve"),AND(P43="Alta",T43="Menor")),"Moderado",IF(OR(AND(P43="Muy Baja",T43="Mayor"),AND(P43="Baja",T43="Mayor"),AND(P43="Media",T43="Mayor"),AND(P43="Alta",T43="Moderado"),AND(P43="Alta",T43="Mayor"),AND(P43="Muy Alta",T43="Leve"),AND(P43="Muy Alta",T43="Menor"),AND(P43="Muy Alta",T43="Moderado"),AND(P43="Muy Alta",T43="Mayor")),"Alto",IF(OR(AND(P43="Muy Baja",T43="Catastrófico"),AND(P43="Baja",T43="Catastrófico"),AND(P43="Media",T43="Catastrófico"),AND(P43="Alta",T43="Catastrófico"),AND(P43="Muy Alta",T43="Catastrófico")),"Extremo",""))))</f>
        <v>Alto</v>
      </c>
      <c r="W43" s="381" t="s">
        <v>356</v>
      </c>
      <c r="X43" s="398" t="s">
        <v>514</v>
      </c>
      <c r="Y43" s="387" t="str">
        <f t="shared" ref="Y43:Y44" si="65">IF(OR(Z43="Preventivo",Z43="Detectivo"),"Probabilidad",IF(Z43="Correctivo","Impacto",""))</f>
        <v>Probabilidad</v>
      </c>
      <c r="Z43" s="388" t="s">
        <v>358</v>
      </c>
      <c r="AA43" s="388" t="s">
        <v>359</v>
      </c>
      <c r="AB43" s="384" t="str">
        <f t="shared" ref="AB43:AB44" si="66">IF(AND(Z43="Preventivo",AA43="Automático"),"50%",IF(AND(Z43="Preventivo",AA43="Manual"),"40%",IF(AND(Z43="Detectivo",AA43="Automático"),"40%",IF(AND(Z43="Detectivo",AA43="Manual"),"30%",IF(AND(Z43="Correctivo",AA43="Automático"),"35%",IF(AND(Z43="Correctivo",AA43="Manual"),"25%",""))))))</f>
        <v>40%</v>
      </c>
      <c r="AC43" s="388" t="s">
        <v>360</v>
      </c>
      <c r="AD43" s="388" t="s">
        <v>361</v>
      </c>
      <c r="AE43" s="388" t="s">
        <v>362</v>
      </c>
      <c r="AF43" s="389">
        <f t="shared" ref="AF43:AF44" si="67">IFERROR(IF(Y43="Probabilidad",(Q43-(+Q43*AB43)),IF(Y43="Impacto",Q43,"")),"")</f>
        <v>0.12</v>
      </c>
      <c r="AG43" s="390" t="str">
        <f t="shared" ref="AG43:AG44" si="68">IFERROR(IF(AF43="","",IF(AF43&lt;=0.2,"Muy Baja",IF(AF43&lt;=0.4,"Baja",IF(AF43&lt;=0.6,"Media",IF(AF43&lt;=0.8,"Alta","Muy Alta"))))),"")</f>
        <v>Muy Baja</v>
      </c>
      <c r="AH43" s="384">
        <f t="shared" ref="AH43:AH44" si="69">+AF43</f>
        <v>0.12</v>
      </c>
      <c r="AI43" s="390" t="str">
        <f t="shared" ref="AI43:AI44" si="70">IFERROR(IF(AJ43="","",IF(AJ43&lt;=0.2,"Leve",IF(AJ43&lt;=0.4,"Menor",IF(AJ43&lt;=0.6,"Moderado",IF(AJ43&lt;=0.8,"Mayor","Catastrófico"))))),"")</f>
        <v>Mayor</v>
      </c>
      <c r="AJ43" s="384">
        <f t="shared" ref="AJ43:AJ44" si="71">IFERROR(IF(Y43="Impacto",(U43-(+U43*AB43)),IF(Y43="Probabilidad",U43,"")),"")</f>
        <v>0.8</v>
      </c>
      <c r="AK43" s="390" t="str">
        <f t="shared" ref="AK43:AK44" si="72">IFERROR(IF(OR(AND(AG43="Muy Baja",AI43="Leve"),AND(AG43="Muy Baja",AI43="Menor"),AND(AG43="Baja",AI43="Leve")),"Bajo",IF(OR(AND(AG43="Muy baja",AI43="Moderado"),AND(AG43="Baja",AI43="Menor"),AND(AG43="Baja",AI43="Moderado"),AND(AG43="Media",AI43="Leve"),AND(AG43="Media",AI43="Menor"),AND(AG43="Media",AI43="Moderado"),AND(AG43="Alta",AI43="Leve"),AND(AG43="Alta",AI43="Menor")),"Moderado",IF(OR(AND(AG43="Muy Baja",AI43="Mayor"),AND(AG43="Baja",AI43="Mayor"),AND(AG43="Media",AI43="Mayor"),AND(AG43="Alta",AI43="Moderado"),AND(AG43="Alta",AI43="Mayor"),AND(AG43="Muy Alta",AI43="Leve"),AND(AG43="Muy Alta",AI43="Menor"),AND(AG43="Muy Alta",AI43="Moderado"),AND(AG43="Muy Alta",AI43="Mayor")),"Alto",IF(OR(AND(AG43="Muy Baja",AI43="Catastrófico"),AND(AG43="Baja",AI43="Catastrófico"),AND(AG43="Media",AI43="Catastrófico"),AND(AG43="Alta",AI43="Catastrófico"),AND(AG43="Muy Alta",AI43="Catastrófico")),"Extremo","")))),"")</f>
        <v>Alto</v>
      </c>
      <c r="AL43" s="388" t="s">
        <v>363</v>
      </c>
      <c r="AM43" s="391" t="s">
        <v>364</v>
      </c>
      <c r="AN43" s="382" t="s">
        <v>365</v>
      </c>
      <c r="AO43" s="392">
        <v>45292</v>
      </c>
      <c r="AP43" s="392">
        <v>45657</v>
      </c>
      <c r="AQ43" s="393" t="s">
        <v>366</v>
      </c>
      <c r="AR43" s="393" t="s">
        <v>367</v>
      </c>
      <c r="AS43" s="392" t="s">
        <v>368</v>
      </c>
      <c r="AT43" s="394">
        <v>0.9</v>
      </c>
      <c r="AU43" s="395"/>
      <c r="AV43" s="211"/>
      <c r="AW43" s="23"/>
    </row>
    <row r="44" spans="1:77" s="5" customFormat="1" ht="150" hidden="1" customHeight="1" thickBot="1" x14ac:dyDescent="0.35">
      <c r="A44" s="623"/>
      <c r="B44" s="603"/>
      <c r="C44" s="603"/>
      <c r="D44" s="524" t="s">
        <v>345</v>
      </c>
      <c r="E44" s="603"/>
      <c r="F44" s="625"/>
      <c r="G44" s="625"/>
      <c r="H44" s="158" t="s">
        <v>23</v>
      </c>
      <c r="I44" s="430" t="s">
        <v>369</v>
      </c>
      <c r="J44" s="380" t="s">
        <v>351</v>
      </c>
      <c r="K44" s="380" t="s">
        <v>8</v>
      </c>
      <c r="L44" s="380" t="s">
        <v>352</v>
      </c>
      <c r="M44" s="253" t="s">
        <v>387</v>
      </c>
      <c r="N44" s="382" t="s">
        <v>354</v>
      </c>
      <c r="O44" s="382">
        <v>1</v>
      </c>
      <c r="P44" s="383" t="str">
        <f t="shared" si="61"/>
        <v>Muy Baja</v>
      </c>
      <c r="Q44" s="384">
        <f t="shared" si="62"/>
        <v>0.2</v>
      </c>
      <c r="R44" s="385" t="s">
        <v>355</v>
      </c>
      <c r="S44" s="386" t="str">
        <f>IF(NOT(ISERROR(MATCH(R44,'Tabla Impacto'!$B$221:$B$223,0))),'Tabla Impacto'!$F$223&amp;"Por favor no seleccionar los criterios de impacto(Afectación Económica o presupuestal y Pérdida Reputacional)",R44)</f>
        <v xml:space="preserve">     El riesgo afecta la imagen de alguna área de la organización</v>
      </c>
      <c r="T44" s="383" t="str">
        <f>IF(OR(S44='Tabla Impacto'!$C$11,S44='Tabla Impacto'!$D$11),"Leve",IF(OR(S44='Tabla Impacto'!$C$12,S44='Tabla Impacto'!$D$12),"Menor",IF(OR(S44='Tabla Impacto'!$C$13,S44='Tabla Impacto'!$D$13),"Moderado",IF(OR(S44='Tabla Impacto'!$C$14,S44='Tabla Impacto'!$D$14),"Mayor",IF(OR(S44='Tabla Impacto'!$C$15,S44='Tabla Impacto'!$D$15),"Catastrófico","")))))</f>
        <v>Leve</v>
      </c>
      <c r="U44" s="386">
        <f t="shared" si="63"/>
        <v>0.2</v>
      </c>
      <c r="V44" s="383" t="str">
        <f t="shared" si="64"/>
        <v>Bajo</v>
      </c>
      <c r="W44" s="381" t="s">
        <v>372</v>
      </c>
      <c r="X44" s="399" t="s">
        <v>373</v>
      </c>
      <c r="Y44" s="387" t="str">
        <f t="shared" si="65"/>
        <v>Probabilidad</v>
      </c>
      <c r="Z44" s="388" t="s">
        <v>358</v>
      </c>
      <c r="AA44" s="388" t="s">
        <v>359</v>
      </c>
      <c r="AB44" s="384" t="str">
        <f t="shared" si="66"/>
        <v>40%</v>
      </c>
      <c r="AC44" s="388" t="s">
        <v>360</v>
      </c>
      <c r="AD44" s="388" t="s">
        <v>361</v>
      </c>
      <c r="AE44" s="388" t="s">
        <v>362</v>
      </c>
      <c r="AF44" s="389">
        <f t="shared" si="67"/>
        <v>0.12</v>
      </c>
      <c r="AG44" s="390" t="str">
        <f t="shared" si="68"/>
        <v>Muy Baja</v>
      </c>
      <c r="AH44" s="384">
        <f t="shared" si="69"/>
        <v>0.12</v>
      </c>
      <c r="AI44" s="390" t="str">
        <f t="shared" si="70"/>
        <v>Leve</v>
      </c>
      <c r="AJ44" s="384">
        <f t="shared" si="71"/>
        <v>0.2</v>
      </c>
      <c r="AK44" s="390" t="str">
        <f t="shared" si="72"/>
        <v>Bajo</v>
      </c>
      <c r="AL44" s="388" t="s">
        <v>363</v>
      </c>
      <c r="AM44" s="396" t="s">
        <v>374</v>
      </c>
      <c r="AN44" s="382" t="s">
        <v>365</v>
      </c>
      <c r="AO44" s="392">
        <v>44927</v>
      </c>
      <c r="AP44" s="392">
        <v>45291</v>
      </c>
      <c r="AQ44" s="393" t="s">
        <v>366</v>
      </c>
      <c r="AR44" s="393" t="s">
        <v>515</v>
      </c>
      <c r="AS44" s="392" t="s">
        <v>368</v>
      </c>
      <c r="AT44" s="394">
        <v>0.65</v>
      </c>
      <c r="AU44" s="397"/>
      <c r="AV44" s="211"/>
      <c r="AW44" s="23"/>
    </row>
    <row r="45" spans="1:77" ht="228.75" customHeight="1" thickBot="1" x14ac:dyDescent="0.35">
      <c r="A45" s="305" t="s">
        <v>393</v>
      </c>
      <c r="B45" s="201" t="s">
        <v>511</v>
      </c>
      <c r="C45" s="201" t="s">
        <v>512</v>
      </c>
      <c r="D45" s="524" t="s">
        <v>345</v>
      </c>
      <c r="E45" s="201" t="s">
        <v>346</v>
      </c>
      <c r="F45" s="202" t="s">
        <v>347</v>
      </c>
      <c r="G45" s="202" t="s">
        <v>516</v>
      </c>
      <c r="H45" s="307" t="s">
        <v>16</v>
      </c>
      <c r="I45" s="434" t="s">
        <v>454</v>
      </c>
      <c r="J45" s="285" t="s">
        <v>370</v>
      </c>
      <c r="K45" s="308" t="s">
        <v>8</v>
      </c>
      <c r="L45" s="168" t="s">
        <v>8</v>
      </c>
      <c r="M45" s="253" t="s">
        <v>387</v>
      </c>
      <c r="N45" s="169" t="s">
        <v>354</v>
      </c>
      <c r="O45" s="170">
        <v>1</v>
      </c>
      <c r="P45" s="171" t="str">
        <f t="shared" ref="P45:P47" si="73">IF(O45&lt;=0,"",IF(O45&lt;=2,"Muy Baja",IF(O45&lt;=24,"Baja",IF(O45&lt;=500,"Media",IF(O45&lt;=5000,"Alta","Muy Alta")))))</f>
        <v>Muy Baja</v>
      </c>
      <c r="Q45" s="172">
        <f t="shared" ref="Q45:Q47" si="74">IF(P45="","",IF(P45="Muy Baja",0.2,IF(P45="Baja",0.4,IF(P45="Media",0.6,IF(P45="Alta",0.8,IF(P45="Muy Alta",1,))))))</f>
        <v>0.2</v>
      </c>
      <c r="R45" s="207" t="s">
        <v>388</v>
      </c>
      <c r="S45" s="208" t="str">
        <f>IF(NOT(ISERROR(MATCH(R45,'Tabla Impacto'!$B$221:$B$223,0))),'Tabla Impacto'!$F$223&amp;"Por favor no seleccionar los criterios de impacto(Afectación Económica o presupuestal y Pérdida Reputacional)",R45)</f>
        <v xml:space="preserve">     El riesgo afecta la imagen de la entidad con algunos usuarios de relevancia frente al logro de los objetivos</v>
      </c>
      <c r="T45" s="290" t="str">
        <f>IF(OR(S45='Tabla Impacto'!$C$11,S45='Tabla Impacto'!$D$11),"Leve",IF(OR(S45='Tabla Impacto'!$C$12,S45='Tabla Impacto'!$D$12),"Menor",IF(OR(S45='Tabla Impacto'!$C$13,S45='Tabla Impacto'!$D$13),"Moderado",IF(OR(S45='Tabla Impacto'!$C$14,S45='Tabla Impacto'!$D$14),"Mayor",IF(OR(S45='Tabla Impacto'!$C$15,S45='Tabla Impacto'!$D$15),"Catastrófico","")))))</f>
        <v>Moderado</v>
      </c>
      <c r="U45" s="172">
        <f t="shared" ref="U45:U47" si="75">IF(T45="","",IF(T45="Leve",0.2,IF(T45="Menor",0.4,IF(T45="Moderado",0.6,IF(T45="Mayor",0.8,IF(T45="Catastrófico",1,))))))</f>
        <v>0.6</v>
      </c>
      <c r="V45" s="175" t="str">
        <f t="shared" ref="V45:V47" si="76">IF(OR(AND(P45="Muy Baja",T45="Leve"),AND(P45="Muy Baja",T45="Menor"),AND(P45="Baja",T45="Leve")),"Bajo",IF(OR(AND(P45="Muy baja",T45="Moderado"),AND(P45="Baja",T45="Menor"),AND(P45="Baja",T45="Moderado"),AND(P45="Media",T45="Leve"),AND(P45="Media",T45="Menor"),AND(P45="Media",T45="Moderado"),AND(P45="Alta",T45="Leve"),AND(P45="Alta",T45="Menor")),"Moderado",IF(OR(AND(P45="Muy Baja",T45="Mayor"),AND(P45="Baja",T45="Mayor"),AND(P45="Media",T45="Mayor"),AND(P45="Alta",T45="Moderado"),AND(P45="Alta",T45="Mayor"),AND(P45="Muy Alta",T45="Leve"),AND(P45="Muy Alta",T45="Menor"),AND(P45="Muy Alta",T45="Moderado"),AND(P45="Muy Alta",T45="Mayor")),"Alto",IF(OR(AND(P45="Muy Baja",T45="Catastrófico"),AND(P45="Baja",T45="Catastrófico"),AND(P45="Media",T45="Catastrófico"),AND(P45="Alta",T45="Catastrófico"),AND(P45="Muy Alta",T45="Catastrófico")),"Extremo",""))))</f>
        <v>Moderado</v>
      </c>
      <c r="W45" s="176" t="s">
        <v>372</v>
      </c>
      <c r="X45" s="399" t="s">
        <v>373</v>
      </c>
      <c r="Y45" s="309" t="str">
        <f t="shared" ref="Y45:Y47" si="77">IF(OR(Z45="Preventivo",Z45="Detectivo"),"Probabilidad",IF(Z45="Correctivo","Impacto",""))</f>
        <v>Probabilidad</v>
      </c>
      <c r="Z45" s="196" t="s">
        <v>358</v>
      </c>
      <c r="AA45" s="196" t="s">
        <v>359</v>
      </c>
      <c r="AB45" s="197" t="str">
        <f t="shared" ref="AB45:AB47" si="78">IF(AND(Z45="Preventivo",AA45="Automático"),"50%",IF(AND(Z45="Preventivo",AA45="Manual"),"40%",IF(AND(Z45="Detectivo",AA45="Automático"),"40%",IF(AND(Z45="Detectivo",AA45="Manual"),"30%",IF(AND(Z45="Correctivo",AA45="Automático"),"35%",IF(AND(Z45="Correctivo",AA45="Manual"),"25%",""))))))</f>
        <v>40%</v>
      </c>
      <c r="AC45" s="177" t="s">
        <v>360</v>
      </c>
      <c r="AD45" s="177" t="s">
        <v>361</v>
      </c>
      <c r="AE45" s="177" t="s">
        <v>362</v>
      </c>
      <c r="AF45" s="179">
        <f t="shared" ref="AF45:AF47" si="79">IFERROR(IF(Y45="Probabilidad",(Q45-(+Q45*AB45)),IF(Y45="Impacto",Q45,"")),"")</f>
        <v>0.12</v>
      </c>
      <c r="AG45" s="180" t="str">
        <f t="shared" ref="AG45:AG47" si="80">IFERROR(IF(AF45="","",IF(AF45&lt;=0.2,"Muy Baja",IF(AF45&lt;=0.4,"Baja",IF(AF45&lt;=0.6,"Media",IF(AF45&lt;=0.8,"Alta","Muy Alta"))))),"")</f>
        <v>Muy Baja</v>
      </c>
      <c r="AH45" s="178">
        <f t="shared" ref="AH45:AH47" si="81">+AF45</f>
        <v>0.12</v>
      </c>
      <c r="AI45" s="180" t="str">
        <f t="shared" ref="AI45:AI47" si="82">IFERROR(IF(AJ45="","",IF(AJ45&lt;=0.2,"Leve",IF(AJ45&lt;=0.4,"Menor",IF(AJ45&lt;=0.6,"Moderado",IF(AJ45&lt;=0.8,"Mayor","Catastrófico"))))),"")</f>
        <v>Moderado</v>
      </c>
      <c r="AJ45" s="178">
        <f t="shared" ref="AJ45:AJ47" si="83">IFERROR(IF(Y45="Impacto",(U45-(+U45*AB45)),IF(Y45="Probabilidad",U45,"")),"")</f>
        <v>0.6</v>
      </c>
      <c r="AK45" s="181" t="str">
        <f t="shared" ref="AK45:AK47" si="84">IFERROR(IF(OR(AND(AG45="Muy Baja",AI45="Leve"),AND(AG45="Muy Baja",AI45="Menor"),AND(AG45="Baja",AI45="Leve")),"Bajo",IF(OR(AND(AG45="Muy baja",AI45="Moderado"),AND(AG45="Baja",AI45="Menor"),AND(AG45="Baja",AI45="Moderado"),AND(AG45="Media",AI45="Leve"),AND(AG45="Media",AI45="Menor"),AND(AG45="Media",AI45="Moderado"),AND(AG45="Alta",AI45="Leve"),AND(AG45="Alta",AI45="Menor")),"Moderado",IF(OR(AND(AG45="Muy Baja",AI45="Mayor"),AND(AG45="Baja",AI45="Mayor"),AND(AG45="Media",AI45="Mayor"),AND(AG45="Alta",AI45="Moderado"),AND(AG45="Alta",AI45="Mayor"),AND(AG45="Muy Alta",AI45="Leve"),AND(AG45="Muy Alta",AI45="Menor"),AND(AG45="Muy Alta",AI45="Moderado"),AND(AG45="Muy Alta",AI45="Mayor")),"Alto",IF(OR(AND(AG45="Muy Baja",AI45="Catastrófico"),AND(AG45="Baja",AI45="Catastrófico"),AND(AG45="Media",AI45="Catastrófico"),AND(AG45="Alta",AI45="Catastrófico"),AND(AG45="Muy Alta",AI45="Catastrófico")),"Extremo","")))),"")</f>
        <v>Moderado</v>
      </c>
      <c r="AL45" s="177" t="s">
        <v>363</v>
      </c>
      <c r="AM45" s="310" t="s">
        <v>455</v>
      </c>
      <c r="AN45" s="333" t="s">
        <v>517</v>
      </c>
      <c r="AO45" s="392">
        <v>45292</v>
      </c>
      <c r="AP45" s="392">
        <v>45657</v>
      </c>
      <c r="AQ45" s="393" t="s">
        <v>400</v>
      </c>
      <c r="AR45" s="252" t="s">
        <v>518</v>
      </c>
      <c r="AS45" s="392" t="s">
        <v>368</v>
      </c>
      <c r="AT45" s="183">
        <v>0.65</v>
      </c>
      <c r="AU45" s="219"/>
      <c r="AV45" s="211"/>
      <c r="AW45" s="23"/>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row>
    <row r="46" spans="1:77" ht="180" customHeight="1" thickBot="1" x14ac:dyDescent="0.35">
      <c r="A46" s="626" t="s">
        <v>406</v>
      </c>
      <c r="B46" s="606" t="s">
        <v>511</v>
      </c>
      <c r="C46" s="606" t="s">
        <v>512</v>
      </c>
      <c r="D46" s="524" t="s">
        <v>345</v>
      </c>
      <c r="E46" s="606" t="s">
        <v>346</v>
      </c>
      <c r="F46" s="628" t="s">
        <v>347</v>
      </c>
      <c r="G46" s="629" t="s">
        <v>516</v>
      </c>
      <c r="H46" s="158" t="s">
        <v>349</v>
      </c>
      <c r="I46" s="432" t="s">
        <v>17</v>
      </c>
      <c r="J46" s="133" t="s">
        <v>351</v>
      </c>
      <c r="K46" s="248" t="s">
        <v>8</v>
      </c>
      <c r="L46" s="242" t="s">
        <v>8</v>
      </c>
      <c r="M46" s="249" t="s">
        <v>353</v>
      </c>
      <c r="N46" s="244" t="s">
        <v>354</v>
      </c>
      <c r="O46" s="151">
        <v>1</v>
      </c>
      <c r="P46" s="162" t="str">
        <f t="shared" si="73"/>
        <v>Muy Baja</v>
      </c>
      <c r="Q46" s="159">
        <f t="shared" si="74"/>
        <v>0.2</v>
      </c>
      <c r="R46" s="186" t="s">
        <v>388</v>
      </c>
      <c r="S46" s="187" t="str">
        <f>IF(NOT(ISERROR(MATCH(R46,'Tabla Impacto'!$B$221:$B$223,0))),'Tabla Impacto'!$F$223&amp;"Por favor no seleccionar los criterios de impacto(Afectación Económica o presupuestal y Pérdida Reputacional)",R46)</f>
        <v xml:space="preserve">     El riesgo afecta la imagen de la entidad con algunos usuarios de relevancia frente al logro de los objetivos</v>
      </c>
      <c r="T46" s="162" t="str">
        <f>IF(OR(S46='Tabla Impacto'!$C$11,S46='Tabla Impacto'!$D$11),"Leve",IF(OR(S46='Tabla Impacto'!$C$12,S46='Tabla Impacto'!$D$12),"Menor",IF(OR(S46='Tabla Impacto'!$C$13,S46='Tabla Impacto'!$D$13),"Moderado",IF(OR(S46='Tabla Impacto'!$C$14,S46='Tabla Impacto'!$D$14),"Mayor",IF(OR(S46='Tabla Impacto'!$C$15,S46='Tabla Impacto'!$D$15),"Catastrófico","")))))</f>
        <v>Moderado</v>
      </c>
      <c r="U46" s="159">
        <f t="shared" si="75"/>
        <v>0.6</v>
      </c>
      <c r="V46" s="160" t="str">
        <f t="shared" si="76"/>
        <v>Moderado</v>
      </c>
      <c r="W46" s="618" t="s">
        <v>397</v>
      </c>
      <c r="X46" s="352" t="s">
        <v>421</v>
      </c>
      <c r="Y46" s="247" t="str">
        <f t="shared" si="77"/>
        <v>Probabilidad</v>
      </c>
      <c r="Z46" s="122" t="s">
        <v>358</v>
      </c>
      <c r="AA46" s="122" t="s">
        <v>359</v>
      </c>
      <c r="AB46" s="123" t="str">
        <f t="shared" si="78"/>
        <v>40%</v>
      </c>
      <c r="AC46" s="122" t="s">
        <v>360</v>
      </c>
      <c r="AD46" s="122" t="s">
        <v>361</v>
      </c>
      <c r="AE46" s="122" t="s">
        <v>362</v>
      </c>
      <c r="AF46" s="124">
        <f t="shared" si="79"/>
        <v>0.12</v>
      </c>
      <c r="AG46" s="125" t="str">
        <f t="shared" si="80"/>
        <v>Muy Baja</v>
      </c>
      <c r="AH46" s="126">
        <f t="shared" si="81"/>
        <v>0.12</v>
      </c>
      <c r="AI46" s="125" t="str">
        <f t="shared" si="82"/>
        <v>Moderado</v>
      </c>
      <c r="AJ46" s="126">
        <f t="shared" si="83"/>
        <v>0.6</v>
      </c>
      <c r="AK46" s="127" t="str">
        <f t="shared" si="84"/>
        <v>Moderado</v>
      </c>
      <c r="AL46" s="128" t="s">
        <v>363</v>
      </c>
      <c r="AM46" s="129" t="s">
        <v>413</v>
      </c>
      <c r="AN46" s="620" t="s">
        <v>517</v>
      </c>
      <c r="AO46" s="392">
        <v>45292</v>
      </c>
      <c r="AP46" s="392">
        <v>45657</v>
      </c>
      <c r="AQ46" s="312" t="s">
        <v>437</v>
      </c>
      <c r="AR46" s="251" t="s">
        <v>438</v>
      </c>
      <c r="AS46" s="140" t="s">
        <v>368</v>
      </c>
      <c r="AT46" s="183">
        <v>0.9</v>
      </c>
      <c r="AU46" s="219"/>
      <c r="AV46" s="211"/>
      <c r="AW46" s="23"/>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row>
    <row r="47" spans="1:77" ht="171.6" hidden="1" customHeight="1" thickBot="1" x14ac:dyDescent="0.35">
      <c r="A47" s="627"/>
      <c r="B47" s="603"/>
      <c r="C47" s="603"/>
      <c r="D47" s="524" t="s">
        <v>345</v>
      </c>
      <c r="E47" s="603"/>
      <c r="F47" s="621"/>
      <c r="G47" s="625"/>
      <c r="H47" s="288" t="s">
        <v>29</v>
      </c>
      <c r="I47" s="433" t="s">
        <v>18</v>
      </c>
      <c r="J47" s="254" t="s">
        <v>351</v>
      </c>
      <c r="K47" s="248" t="s">
        <v>8</v>
      </c>
      <c r="L47" s="256" t="s">
        <v>8</v>
      </c>
      <c r="M47" s="288" t="s">
        <v>46</v>
      </c>
      <c r="N47" s="244" t="s">
        <v>354</v>
      </c>
      <c r="O47" s="258">
        <v>1</v>
      </c>
      <c r="P47" s="259" t="str">
        <f t="shared" si="73"/>
        <v>Muy Baja</v>
      </c>
      <c r="Q47" s="260">
        <f t="shared" si="74"/>
        <v>0.2</v>
      </c>
      <c r="R47" s="186" t="s">
        <v>388</v>
      </c>
      <c r="S47" s="187" t="str">
        <f>IF(NOT(ISERROR(MATCH(R47,'Tabla Impacto'!$B$221:$B$223,0))),'Tabla Impacto'!$F$223&amp;"Por favor no seleccionar los criterios de impacto(Afectación Económica o presupuestal y Pérdida Reputacional)",R47)</f>
        <v xml:space="preserve">     El riesgo afecta la imagen de la entidad con algunos usuarios de relevancia frente al logro de los objetivos</v>
      </c>
      <c r="T47" s="259" t="str">
        <f>IF(OR(S47='Tabla Impacto'!$C$11,S47='Tabla Impacto'!$D$11),"Leve",IF(OR(S47='Tabla Impacto'!$C$12,S47='Tabla Impacto'!$D$12),"Menor",IF(OR(S47='Tabla Impacto'!$C$13,S47='Tabla Impacto'!$D$13),"Moderado",IF(OR(S47='Tabla Impacto'!$C$14,S47='Tabla Impacto'!$D$14),"Mayor",IF(OR(S47='Tabla Impacto'!$C$15,S47='Tabla Impacto'!$D$15),"Catastrófico","")))))</f>
        <v>Moderado</v>
      </c>
      <c r="U47" s="260">
        <f t="shared" si="75"/>
        <v>0.6</v>
      </c>
      <c r="V47" s="262" t="str">
        <f t="shared" si="76"/>
        <v>Moderado</v>
      </c>
      <c r="W47" s="619"/>
      <c r="X47" s="350" t="s">
        <v>398</v>
      </c>
      <c r="Y47" s="263" t="str">
        <f t="shared" si="77"/>
        <v>Probabilidad</v>
      </c>
      <c r="Z47" s="122" t="s">
        <v>358</v>
      </c>
      <c r="AA47" s="122" t="s">
        <v>359</v>
      </c>
      <c r="AB47" s="264" t="str">
        <f t="shared" si="78"/>
        <v>40%</v>
      </c>
      <c r="AC47" s="265" t="s">
        <v>360</v>
      </c>
      <c r="AD47" s="265" t="s">
        <v>361</v>
      </c>
      <c r="AE47" s="265" t="s">
        <v>362</v>
      </c>
      <c r="AF47" s="266">
        <f t="shared" si="79"/>
        <v>0.12</v>
      </c>
      <c r="AG47" s="267" t="str">
        <f t="shared" si="80"/>
        <v>Muy Baja</v>
      </c>
      <c r="AH47" s="264">
        <f t="shared" si="81"/>
        <v>0.12</v>
      </c>
      <c r="AI47" s="267" t="str">
        <f t="shared" si="82"/>
        <v>Moderado</v>
      </c>
      <c r="AJ47" s="264">
        <f t="shared" si="83"/>
        <v>0.6</v>
      </c>
      <c r="AK47" s="268" t="str">
        <f t="shared" si="84"/>
        <v>Moderado</v>
      </c>
      <c r="AL47" s="265" t="s">
        <v>363</v>
      </c>
      <c r="AM47" s="475" t="s">
        <v>447</v>
      </c>
      <c r="AN47" s="621"/>
      <c r="AO47" s="392">
        <v>44927</v>
      </c>
      <c r="AP47" s="392">
        <v>45291</v>
      </c>
      <c r="AQ47" s="311" t="s">
        <v>415</v>
      </c>
      <c r="AR47" s="477" t="s">
        <v>449</v>
      </c>
      <c r="AS47" s="258" t="s">
        <v>368</v>
      </c>
      <c r="AT47" s="183">
        <v>0.6</v>
      </c>
      <c r="AU47" s="219"/>
      <c r="AV47" s="211"/>
      <c r="AW47" s="23"/>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row>
    <row r="48" spans="1:77" ht="151.5" hidden="1" customHeight="1" thickBot="1" x14ac:dyDescent="0.35">
      <c r="A48" s="600" t="s">
        <v>342</v>
      </c>
      <c r="B48" s="602" t="s">
        <v>519</v>
      </c>
      <c r="C48" s="602" t="s">
        <v>520</v>
      </c>
      <c r="D48" s="524" t="s">
        <v>345</v>
      </c>
      <c r="E48" s="602" t="s">
        <v>346</v>
      </c>
      <c r="F48" s="624" t="s">
        <v>347</v>
      </c>
      <c r="G48" s="624" t="s">
        <v>521</v>
      </c>
      <c r="H48" s="158" t="s">
        <v>459</v>
      </c>
      <c r="I48" s="432" t="s">
        <v>17</v>
      </c>
      <c r="J48" s="604" t="s">
        <v>351</v>
      </c>
      <c r="K48" s="604" t="s">
        <v>8</v>
      </c>
      <c r="L48" s="604" t="s">
        <v>8</v>
      </c>
      <c r="M48" s="158" t="s">
        <v>353</v>
      </c>
      <c r="N48" s="155" t="s">
        <v>354</v>
      </c>
      <c r="O48" s="140">
        <v>1</v>
      </c>
      <c r="P48" s="141" t="str">
        <f t="shared" ref="P48:P51" si="85">IF(O48&lt;=0,"",IF(O48&lt;=2,"Muy Baja",IF(O48&lt;=24,"Baja",IF(O48&lt;=500,"Media",IF(O48&lt;=5000,"Alta","Muy Alta")))))</f>
        <v>Muy Baja</v>
      </c>
      <c r="Q48" s="142">
        <f t="shared" ref="Q48:Q51" si="86">IF(P48="","",IF(P48="Muy Baja",0.2,IF(P48="Baja",0.4,IF(P48="Media",0.6,IF(P48="Alta",0.8,IF(P48="Muy Alta",1,))))))</f>
        <v>0.2</v>
      </c>
      <c r="R48" s="143" t="s">
        <v>490</v>
      </c>
      <c r="S48" s="143" t="s">
        <v>490</v>
      </c>
      <c r="T48" s="141" t="str">
        <f>IF(OR(S48='Tabla Impacto'!$C$11,S48='Tabla Impacto'!$D$11),"Leve",IF(OR(S48='Tabla Impacto'!$C$12,S48='Tabla Impacto'!$D$12),"Menor",IF(OR(S48='Tabla Impacto'!$C$13,S48='Tabla Impacto'!$D$13),"Moderado",IF(OR(S48='Tabla Impacto'!$C$14,S48='Tabla Impacto'!$D$14),"Mayor",IF(OR(S48='Tabla Impacto'!$C$15,S48='Tabla Impacto'!$D$15),"Catastrófico","")))))</f>
        <v>Mayor</v>
      </c>
      <c r="U48" s="142">
        <f t="shared" ref="U48:U49" si="87">IF(T48="","",IF(T48="Leve",0.2,IF(T48="Menor",0.4,IF(T48="Moderado",0.6,IF(T48="Mayor",0.8,IF(T48="Catastrófico",1,))))))</f>
        <v>0.8</v>
      </c>
      <c r="V48" s="153" t="str">
        <f t="shared" ref="V48:V49" si="88">IF(OR(AND(P48="Muy Baja",T48="Leve"),AND(P48="Muy Baja",T48="Menor"),AND(P48="Baja",T48="Leve")),"Bajo",IF(OR(AND(P48="Muy baja",T48="Moderado"),AND(P48="Baja",T48="Menor"),AND(P48="Baja",T48="Moderado"),AND(P48="Media",T48="Leve"),AND(P48="Media",T48="Menor"),AND(P48="Media",T48="Moderado"),AND(P48="Alta",T48="Leve"),AND(P48="Alta",T48="Menor")),"Moderado",IF(OR(AND(P48="Muy Baja",T48="Mayor"),AND(P48="Baja",T48="Mayor"),AND(P48="Media",T48="Mayor"),AND(P48="Alta",T48="Moderado"),AND(P48="Alta",T48="Mayor"),AND(P48="Muy Alta",T48="Leve"),AND(P48="Muy Alta",T48="Menor"),AND(P48="Muy Alta",T48="Moderado"),AND(P48="Muy Alta",T48="Mayor")),"Alto",IF(OR(AND(P48="Muy Baja",T48="Catastrófico"),AND(P48="Baja",T48="Catastrófico"),AND(P48="Media",T48="Catastrófico"),AND(P48="Alta",T48="Catastrófico"),AND(P48="Muy Alta",T48="Catastrófico")),"Extremo",""))))</f>
        <v>Alto</v>
      </c>
      <c r="W48" s="154" t="s">
        <v>356</v>
      </c>
      <c r="X48" s="352" t="s">
        <v>421</v>
      </c>
      <c r="Y48" s="145" t="str">
        <f t="shared" ref="Y48:Y53" si="89">IF(OR(Z48="Preventivo",Z48="Detectivo"),"Probabilidad",IF(Z48="Correctivo","Impacto",""))</f>
        <v>Probabilidad</v>
      </c>
      <c r="Z48" s="146" t="s">
        <v>522</v>
      </c>
      <c r="AA48" s="146" t="s">
        <v>359</v>
      </c>
      <c r="AB48" s="147" t="str">
        <f t="shared" ref="AB48:AB53" si="90">IF(AND(Z48="Preventivo",AA48="Automático"),"50%",IF(AND(Z48="Preventivo",AA48="Manual"),"40%",IF(AND(Z48="Detectivo",AA48="Automático"),"40%",IF(AND(Z48="Detectivo",AA48="Manual"),"30%",IF(AND(Z48="Correctivo",AA48="Automático"),"35%",IF(AND(Z48="Correctivo",AA48="Manual"),"25%",""))))))</f>
        <v>30%</v>
      </c>
      <c r="AC48" s="146" t="s">
        <v>360</v>
      </c>
      <c r="AD48" s="146" t="s">
        <v>361</v>
      </c>
      <c r="AE48" s="146" t="s">
        <v>362</v>
      </c>
      <c r="AF48" s="148">
        <f t="shared" ref="AF48:AF53" si="91">IFERROR(IF(Y48="Probabilidad",(Q48-(+Q48*AB48)),IF(Y48="Impacto",Q48,"")),"")</f>
        <v>0.14000000000000001</v>
      </c>
      <c r="AG48" s="149" t="str">
        <f t="shared" ref="AG48:AG53" si="92">IFERROR(IF(AF48="","",IF(AF48&lt;=0.2,"Muy Baja",IF(AF48&lt;=0.4,"Baja",IF(AF48&lt;=0.6,"Media",IF(AF48&lt;=0.8,"Alta","Muy Alta"))))),"")</f>
        <v>Muy Baja</v>
      </c>
      <c r="AH48" s="147">
        <f t="shared" ref="AH48:AH53" si="93">+AF48</f>
        <v>0.14000000000000001</v>
      </c>
      <c r="AI48" s="149" t="str">
        <f t="shared" ref="AI48:AI53" si="94">IFERROR(IF(AJ48="","",IF(AJ48&lt;=0.2,"Leve",IF(AJ48&lt;=0.4,"Menor",IF(AJ48&lt;=0.6,"Moderado",IF(AJ48&lt;=0.8,"Mayor","Catastrófico"))))),"")</f>
        <v>Mayor</v>
      </c>
      <c r="AJ48" s="147">
        <f t="shared" ref="AJ48:AJ53" si="95">IFERROR(IF(Y48="Impacto",(U48-(+U48*AB48)),IF(Y48="Probabilidad",U48,"")),"")</f>
        <v>0.8</v>
      </c>
      <c r="AK48" s="150" t="str">
        <f t="shared" ref="AK48:AK53" si="96">IFERROR(IF(OR(AND(AG48="Muy Baja",AI48="Leve"),AND(AG48="Muy Baja",AI48="Menor"),AND(AG48="Baja",AI48="Leve")),"Bajo",IF(OR(AND(AG48="Muy baja",AI48="Moderado"),AND(AG48="Baja",AI48="Menor"),AND(AG48="Baja",AI48="Moderado"),AND(AG48="Media",AI48="Leve"),AND(AG48="Media",AI48="Menor"),AND(AG48="Media",AI48="Moderado"),AND(AG48="Alta",AI48="Leve"),AND(AG48="Alta",AI48="Menor")),"Moderado",IF(OR(AND(AG48="Muy Baja",AI48="Mayor"),AND(AG48="Baja",AI48="Mayor"),AND(AG48="Media",AI48="Mayor"),AND(AG48="Alta",AI48="Moderado"),AND(AG48="Alta",AI48="Mayor"),AND(AG48="Muy Alta",AI48="Leve"),AND(AG48="Muy Alta",AI48="Menor"),AND(AG48="Muy Alta",AI48="Moderado"),AND(AG48="Muy Alta",AI48="Mayor")),"Alto",IF(OR(AND(AG48="Muy Baja",AI48="Catastrófico"),AND(AG48="Baja",AI48="Catastrófico"),AND(AG48="Media",AI48="Catastrófico"),AND(AG48="Alta",AI48="Catastrófico"),AND(AG48="Muy Alta",AI48="Catastrófico")),"Extremo","")))),"")</f>
        <v>Alto</v>
      </c>
      <c r="AL48" s="146"/>
      <c r="AM48" s="155" t="s">
        <v>364</v>
      </c>
      <c r="AN48" s="155" t="s">
        <v>517</v>
      </c>
      <c r="AO48" s="392">
        <v>44927</v>
      </c>
      <c r="AP48" s="392">
        <v>45291</v>
      </c>
      <c r="AQ48" s="312" t="s">
        <v>437</v>
      </c>
      <c r="AR48" s="155" t="s">
        <v>523</v>
      </c>
      <c r="AS48" s="392" t="s">
        <v>368</v>
      </c>
      <c r="AT48" s="183">
        <v>0.9</v>
      </c>
      <c r="AU48" s="219"/>
      <c r="AV48" s="211"/>
      <c r="AW48" s="23"/>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row>
    <row r="49" spans="1:77" ht="151.5" hidden="1" customHeight="1" thickBot="1" x14ac:dyDescent="0.35">
      <c r="A49" s="601"/>
      <c r="B49" s="603"/>
      <c r="C49" s="603"/>
      <c r="D49" s="524" t="s">
        <v>345</v>
      </c>
      <c r="E49" s="603"/>
      <c r="F49" s="625"/>
      <c r="G49" s="625"/>
      <c r="H49" s="253" t="s">
        <v>23</v>
      </c>
      <c r="I49" s="433" t="s">
        <v>18</v>
      </c>
      <c r="J49" s="605"/>
      <c r="K49" s="605"/>
      <c r="L49" s="605"/>
      <c r="M49" s="253" t="s">
        <v>387</v>
      </c>
      <c r="N49" s="169" t="s">
        <v>354</v>
      </c>
      <c r="O49" s="170">
        <v>1</v>
      </c>
      <c r="P49" s="171" t="str">
        <f t="shared" si="85"/>
        <v>Muy Baja</v>
      </c>
      <c r="Q49" s="172">
        <f t="shared" si="86"/>
        <v>0.2</v>
      </c>
      <c r="R49" s="143" t="s">
        <v>490</v>
      </c>
      <c r="S49" s="143" t="s">
        <v>490</v>
      </c>
      <c r="T49" s="171" t="str">
        <f>IF(OR(S49='Tabla Impacto'!$C$11,S49='Tabla Impacto'!$D$11),"Leve",IF(OR(S49='Tabla Impacto'!$C$12,S49='Tabla Impacto'!$D$12),"Menor",IF(OR(S49='Tabla Impacto'!$C$13,S49='Tabla Impacto'!$D$13),"Moderado",IF(OR(S49='Tabla Impacto'!$C$14,S49='Tabla Impacto'!$D$14),"Mayor",IF(OR(S49='Tabla Impacto'!$C$15,S49='Tabla Impacto'!$D$15),"Catastrófico","")))))</f>
        <v>Mayor</v>
      </c>
      <c r="U49" s="172">
        <f t="shared" si="87"/>
        <v>0.8</v>
      </c>
      <c r="V49" s="175" t="str">
        <f t="shared" si="88"/>
        <v>Alto</v>
      </c>
      <c r="W49" s="495"/>
      <c r="X49" s="416" t="s">
        <v>524</v>
      </c>
      <c r="Y49" s="313" t="str">
        <f t="shared" si="89"/>
        <v>Probabilidad</v>
      </c>
      <c r="Z49" s="177" t="s">
        <v>522</v>
      </c>
      <c r="AA49" s="177" t="s">
        <v>359</v>
      </c>
      <c r="AB49" s="178" t="str">
        <f t="shared" si="90"/>
        <v>30%</v>
      </c>
      <c r="AC49" s="177" t="s">
        <v>360</v>
      </c>
      <c r="AD49" s="177" t="s">
        <v>361</v>
      </c>
      <c r="AE49" s="177" t="s">
        <v>362</v>
      </c>
      <c r="AF49" s="179">
        <f t="shared" si="91"/>
        <v>0.14000000000000001</v>
      </c>
      <c r="AG49" s="180" t="str">
        <f t="shared" si="92"/>
        <v>Muy Baja</v>
      </c>
      <c r="AH49" s="178">
        <f t="shared" si="93"/>
        <v>0.14000000000000001</v>
      </c>
      <c r="AI49" s="180" t="str">
        <f t="shared" si="94"/>
        <v>Mayor</v>
      </c>
      <c r="AJ49" s="178">
        <f t="shared" si="95"/>
        <v>0.8</v>
      </c>
      <c r="AK49" s="181" t="str">
        <f t="shared" si="96"/>
        <v>Alto</v>
      </c>
      <c r="AL49" s="177"/>
      <c r="AM49" s="169" t="s">
        <v>525</v>
      </c>
      <c r="AN49" s="169" t="s">
        <v>517</v>
      </c>
      <c r="AO49" s="392">
        <v>44927</v>
      </c>
      <c r="AP49" s="392">
        <v>45291</v>
      </c>
      <c r="AQ49" s="169" t="s">
        <v>526</v>
      </c>
      <c r="AR49" s="169" t="s">
        <v>478</v>
      </c>
      <c r="AS49" s="392" t="s">
        <v>368</v>
      </c>
      <c r="AT49" s="183">
        <v>0.65</v>
      </c>
      <c r="AU49" s="219"/>
      <c r="AV49" s="211"/>
      <c r="AW49" s="23"/>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row>
    <row r="50" spans="1:77" ht="184.5" hidden="1" customHeight="1" thickBot="1" x14ac:dyDescent="0.35">
      <c r="A50" s="607" t="s">
        <v>393</v>
      </c>
      <c r="B50" s="607" t="s">
        <v>519</v>
      </c>
      <c r="C50" s="607" t="s">
        <v>520</v>
      </c>
      <c r="D50" s="524" t="s">
        <v>345</v>
      </c>
      <c r="E50" s="615" t="s">
        <v>346</v>
      </c>
      <c r="F50" s="379" t="s">
        <v>347</v>
      </c>
      <c r="G50" s="613" t="s">
        <v>516</v>
      </c>
      <c r="H50" s="606" t="s">
        <v>13</v>
      </c>
      <c r="I50" s="616" t="s">
        <v>479</v>
      </c>
      <c r="J50" s="636" t="s">
        <v>370</v>
      </c>
      <c r="K50" s="607" t="s">
        <v>8</v>
      </c>
      <c r="L50" s="630" t="s">
        <v>8</v>
      </c>
      <c r="M50" s="632" t="s">
        <v>353</v>
      </c>
      <c r="N50" s="634" t="s">
        <v>354</v>
      </c>
      <c r="O50" s="462">
        <v>1</v>
      </c>
      <c r="P50" s="152" t="str">
        <f t="shared" si="85"/>
        <v>Muy Baja</v>
      </c>
      <c r="Q50" s="318">
        <f t="shared" si="86"/>
        <v>0.2</v>
      </c>
      <c r="R50" s="194" t="s">
        <v>388</v>
      </c>
      <c r="S50" s="195" t="str">
        <f>IF(NOT(ISERROR(MATCH(R50,'Tabla Impacto'!$B$221:$B$223,0))),'Tabla Impacto'!$F$223&amp;"Por favor no seleccionar los criterios de impacto(Afectación Económica o presupuestal y Pérdida Reputacional)",R50)</f>
        <v xml:space="preserve">     El riesgo afecta la imagen de la entidad con algunos usuarios de relevancia frente al logro de los objetivos</v>
      </c>
      <c r="T50" s="192" t="str">
        <f>IF(OR(S50='Tabla Impacto'!$C$11,S50='Tabla Impacto'!$D$11),"Leve",IF(OR(S50='Tabla Impacto'!$C$12,S50='Tabla Impacto'!$D$12),"Menor",IF(OR(S50='Tabla Impacto'!$C$13,S50='Tabla Impacto'!$D$13),"Moderado",IF(OR(S50='Tabla Impacto'!$C$14,S50='Tabla Impacto'!$D$14),"Mayor",IF(OR(S50='Tabla Impacto'!$C$15,S50='Tabla Impacto'!$D$15),"Catastrófico","")))))</f>
        <v>Moderado</v>
      </c>
      <c r="U50" s="193">
        <f t="shared" ref="U50:U51" si="97">IF(T50="","",IF(T50="Leve",0.2,IF(T50="Menor",0.4,IF(T50="Moderado",0.6,IF(T50="Mayor",0.8,IF(T50="Catastrófico",1,))))))</f>
        <v>0.6</v>
      </c>
      <c r="V50" s="355" t="str">
        <f t="shared" ref="V50:V51" si="98">IF(OR(AND(P50="Muy Baja",T50="Leve"),AND(P50="Muy Baja",T50="Menor"),AND(P50="Baja",T50="Leve")),"Bajo",IF(OR(AND(P50="Muy baja",T50="Moderado"),AND(P50="Baja",T50="Menor"),AND(P50="Baja",T50="Moderado"),AND(P50="Media",T50="Leve"),AND(P50="Media",T50="Menor"),AND(P50="Media",T50="Moderado"),AND(P50="Alta",T50="Leve"),AND(P50="Alta",T50="Menor")),"Moderado",IF(OR(AND(P50="Muy Baja",T50="Mayor"),AND(P50="Baja",T50="Mayor"),AND(P50="Media",T50="Mayor"),AND(P50="Alta",T50="Moderado"),AND(P50="Alta",T50="Mayor"),AND(P50="Muy Alta",T50="Leve"),AND(P50="Muy Alta",T50="Menor"),AND(P50="Muy Alta",T50="Moderado"),AND(P50="Muy Alta",T50="Mayor")),"Alto",IF(OR(AND(P50="Muy Baja",T50="Catastrófico"),AND(P50="Baja",T50="Catastrófico"),AND(P50="Media",T50="Catastrófico"),AND(P50="Alta",T50="Catastrófico"),AND(P50="Muy Alta",T50="Catastrófico")),"Extremo",""))))</f>
        <v>Moderado</v>
      </c>
      <c r="W50" s="496" t="s">
        <v>389</v>
      </c>
      <c r="X50" s="440" t="s">
        <v>483</v>
      </c>
      <c r="Y50" s="505" t="s">
        <v>471</v>
      </c>
      <c r="Z50" s="506" t="s">
        <v>358</v>
      </c>
      <c r="AA50" s="506" t="s">
        <v>359</v>
      </c>
      <c r="AB50" s="507">
        <v>0.4</v>
      </c>
      <c r="AC50" s="506" t="s">
        <v>360</v>
      </c>
      <c r="AD50" s="506" t="s">
        <v>361</v>
      </c>
      <c r="AE50" s="506" t="s">
        <v>472</v>
      </c>
      <c r="AF50" s="508">
        <v>0.12</v>
      </c>
      <c r="AG50" s="342" t="s">
        <v>473</v>
      </c>
      <c r="AH50" s="507">
        <v>0.12</v>
      </c>
      <c r="AI50" s="343" t="s">
        <v>481</v>
      </c>
      <c r="AJ50" s="507">
        <v>0.8</v>
      </c>
      <c r="AK50" s="344" t="s">
        <v>482</v>
      </c>
      <c r="AL50" s="509" t="s">
        <v>363</v>
      </c>
      <c r="AM50" s="510" t="s">
        <v>484</v>
      </c>
      <c r="AN50" s="202" t="s">
        <v>507</v>
      </c>
      <c r="AO50" s="392">
        <v>44927</v>
      </c>
      <c r="AP50" s="392">
        <v>45291</v>
      </c>
      <c r="AQ50" s="436" t="s">
        <v>400</v>
      </c>
      <c r="AR50" s="333" t="s">
        <v>527</v>
      </c>
      <c r="AS50" s="392" t="s">
        <v>368</v>
      </c>
      <c r="AT50" s="183">
        <v>0</v>
      </c>
      <c r="AV50" s="211"/>
      <c r="AW50" s="23"/>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row>
    <row r="51" spans="1:77" ht="151.5" hidden="1" customHeight="1" thickBot="1" x14ac:dyDescent="0.35">
      <c r="A51" s="608"/>
      <c r="B51" s="608"/>
      <c r="C51" s="608"/>
      <c r="D51" s="524" t="s">
        <v>345</v>
      </c>
      <c r="E51" s="608"/>
      <c r="F51" s="285" t="s">
        <v>347</v>
      </c>
      <c r="G51" s="614"/>
      <c r="H51" s="603"/>
      <c r="I51" s="617"/>
      <c r="J51" s="637"/>
      <c r="K51" s="608"/>
      <c r="L51" s="631"/>
      <c r="M51" s="633"/>
      <c r="N51" s="635"/>
      <c r="O51" s="465">
        <v>1</v>
      </c>
      <c r="P51" s="320" t="str">
        <f t="shared" si="85"/>
        <v>Muy Baja</v>
      </c>
      <c r="Q51" s="321">
        <f t="shared" si="86"/>
        <v>0.2</v>
      </c>
      <c r="R51" s="194" t="s">
        <v>388</v>
      </c>
      <c r="S51" s="195" t="str">
        <f>IF(NOT(ISERROR(MATCH(R51,'Tabla Impacto'!$B$221:$B$223,0))),'Tabla Impacto'!$F$223&amp;"Por favor no seleccionar los criterios de impacto(Afectación Económica o presupuestal y Pérdida Reputacional)",R51)</f>
        <v xml:space="preserve">     El riesgo afecta la imagen de la entidad con algunos usuarios de relevancia frente al logro de los objetivos</v>
      </c>
      <c r="T51" s="192" t="str">
        <f>IF(OR(S51='Tabla Impacto'!$C$11,S51='Tabla Impacto'!$D$11),"Leve",IF(OR(S51='Tabla Impacto'!$C$12,S51='Tabla Impacto'!$D$12),"Menor",IF(OR(S51='Tabla Impacto'!$C$13,S51='Tabla Impacto'!$D$13),"Moderado",IF(OR(S51='Tabla Impacto'!$C$14,S51='Tabla Impacto'!$D$14),"Mayor",IF(OR(S51='Tabla Impacto'!$C$15,S51='Tabla Impacto'!$D$15),"Catastrófico","")))))</f>
        <v>Moderado</v>
      </c>
      <c r="U51" s="193">
        <f t="shared" si="97"/>
        <v>0.6</v>
      </c>
      <c r="V51" s="355" t="str">
        <f t="shared" si="98"/>
        <v>Moderado</v>
      </c>
      <c r="W51" s="497" t="s">
        <v>372</v>
      </c>
      <c r="X51" s="399" t="s">
        <v>373</v>
      </c>
      <c r="Y51" s="500" t="s">
        <v>249</v>
      </c>
      <c r="Z51" s="513" t="s">
        <v>462</v>
      </c>
      <c r="AA51" s="513" t="s">
        <v>359</v>
      </c>
      <c r="AB51" s="502">
        <v>0.25</v>
      </c>
      <c r="AC51" s="513" t="s">
        <v>360</v>
      </c>
      <c r="AD51" s="513" t="s">
        <v>361</v>
      </c>
      <c r="AE51" s="513" t="s">
        <v>362</v>
      </c>
      <c r="AF51" s="503">
        <v>0.2</v>
      </c>
      <c r="AG51" s="339" t="s">
        <v>473</v>
      </c>
      <c r="AH51" s="502">
        <v>0.2</v>
      </c>
      <c r="AI51" s="345" t="s">
        <v>486</v>
      </c>
      <c r="AJ51" s="502">
        <v>0.6</v>
      </c>
      <c r="AK51" s="346" t="s">
        <v>486</v>
      </c>
      <c r="AL51" s="501" t="s">
        <v>363</v>
      </c>
      <c r="AM51" s="437" t="s">
        <v>487</v>
      </c>
      <c r="AN51" s="202" t="s">
        <v>507</v>
      </c>
      <c r="AO51" s="392">
        <v>44927</v>
      </c>
      <c r="AP51" s="392">
        <v>45291</v>
      </c>
      <c r="AQ51" s="436" t="s">
        <v>384</v>
      </c>
      <c r="AR51" s="438" t="s">
        <v>510</v>
      </c>
      <c r="AS51" s="392" t="s">
        <v>368</v>
      </c>
      <c r="AT51" s="183">
        <v>0</v>
      </c>
      <c r="AV51" s="211"/>
      <c r="AW51" s="23"/>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row>
    <row r="52" spans="1:77" s="428" customFormat="1" ht="151.5" hidden="1" customHeight="1" thickBot="1" x14ac:dyDescent="0.35">
      <c r="A52" s="607" t="s">
        <v>406</v>
      </c>
      <c r="B52" s="607" t="s">
        <v>519</v>
      </c>
      <c r="C52" s="607" t="s">
        <v>520</v>
      </c>
      <c r="D52" s="524" t="s">
        <v>345</v>
      </c>
      <c r="E52" s="607" t="s">
        <v>346</v>
      </c>
      <c r="F52" s="607" t="s">
        <v>347</v>
      </c>
      <c r="G52" s="609" t="s">
        <v>516</v>
      </c>
      <c r="H52" s="451" t="s">
        <v>29</v>
      </c>
      <c r="I52" s="611" t="s">
        <v>395</v>
      </c>
      <c r="J52" s="453" t="s">
        <v>446</v>
      </c>
      <c r="K52" s="454" t="s">
        <v>8</v>
      </c>
      <c r="L52" s="455" t="s">
        <v>8</v>
      </c>
      <c r="M52" s="451" t="s">
        <v>46</v>
      </c>
      <c r="N52" s="382" t="s">
        <v>354</v>
      </c>
      <c r="O52" s="353">
        <v>1</v>
      </c>
      <c r="P52" s="184" t="str">
        <f t="shared" ref="P52:P55" si="99">IF(O52&lt;=0,"",IF(O52&lt;=2,"Muy Baja",IF(O52&lt;=24,"Baja",IF(O52&lt;=500,"Media",IF(O52&lt;=5000,"Alta","Muy Alta")))))</f>
        <v>Muy Baja</v>
      </c>
      <c r="Q52" s="185">
        <f t="shared" ref="Q52:Q55" si="100">IF(P52="","",IF(P52="Muy Baja",0.2,IF(P52="Baja",0.4,IF(P52="Media",0.6,IF(P52="Alta",0.8,IF(P52="Muy Alta",1,))))))</f>
        <v>0.2</v>
      </c>
      <c r="R52" s="186" t="s">
        <v>388</v>
      </c>
      <c r="S52" s="187" t="str">
        <f>IF(NOT(ISERROR(MATCH(R52,'Tabla Impacto'!$B$221:$B$223,0))),'Tabla Impacto'!$F$223&amp;"Por favor no seleccionar los criterios de impacto(Afectación Económica o presupuestal y Pérdida Reputacional)",R52)</f>
        <v xml:space="preserve">     El riesgo afecta la imagen de la entidad con algunos usuarios de relevancia frente al logro de los objetivos</v>
      </c>
      <c r="T52" s="184" t="str">
        <f>IF(OR(S52='Tabla Impacto'!$C$11,S52='Tabla Impacto'!$D$11),"Leve",IF(OR(S52='Tabla Impacto'!$C$12,S52='Tabla Impacto'!$D$12),"Menor",IF(OR(S52='Tabla Impacto'!$C$13,S52='Tabla Impacto'!$D$13),"Moderado",IF(OR(S52='Tabla Impacto'!$C$14,S52='Tabla Impacto'!$D$14),"Mayor",IF(OR(S52='Tabla Impacto'!$C$15,S52='Tabla Impacto'!$D$15),"Catastrófico","")))))</f>
        <v>Moderado</v>
      </c>
      <c r="U52" s="185">
        <f t="shared" ref="U52:U55" si="101">IF(T52="","",IF(T52="Leve",0.2,IF(T52="Menor",0.4,IF(T52="Moderado",0.6,IF(T52="Mayor",0.8,IF(T52="Catastrófico",1,))))))</f>
        <v>0.6</v>
      </c>
      <c r="V52" s="354" t="str">
        <f t="shared" ref="V52:V55" si="102">IF(OR(AND(P52="Muy Baja",T52="Leve"),AND(P52="Muy Baja",T52="Menor"),AND(P52="Baja",T52="Leve")),"Bajo",IF(OR(AND(P52="Muy baja",T52="Moderado"),AND(P52="Baja",T52="Menor"),AND(P52="Baja",T52="Moderado"),AND(P52="Media",T52="Leve"),AND(P52="Media",T52="Menor"),AND(P52="Media",T52="Moderado"),AND(P52="Alta",T52="Leve"),AND(P52="Alta",T52="Menor")),"Moderado",IF(OR(AND(P52="Muy Baja",T52="Mayor"),AND(P52="Baja",T52="Mayor"),AND(P52="Media",T52="Mayor"),AND(P52="Alta",T52="Moderado"),AND(P52="Alta",T52="Mayor"),AND(P52="Muy Alta",T52="Leve"),AND(P52="Muy Alta",T52="Menor"),AND(P52="Muy Alta",T52="Moderado"),AND(P52="Muy Alta",T52="Mayor")),"Alto",IF(OR(AND(P52="Muy Baja",T52="Catastrófico"),AND(P52="Baja",T52="Catastrófico"),AND(P52="Media",T52="Catastrófico"),AND(P52="Alta",T52="Catastrófico"),AND(P52="Muy Alta",T52="Catastrófico")),"Extremo",""))))</f>
        <v>Moderado</v>
      </c>
      <c r="W52" s="498" t="s">
        <v>397</v>
      </c>
      <c r="X52" s="350" t="s">
        <v>398</v>
      </c>
      <c r="Y52" s="468" t="str">
        <f t="shared" si="89"/>
        <v>Probabilidad</v>
      </c>
      <c r="Z52" s="469" t="s">
        <v>358</v>
      </c>
      <c r="AA52" s="469" t="s">
        <v>359</v>
      </c>
      <c r="AB52" s="470" t="str">
        <f t="shared" si="90"/>
        <v>40%</v>
      </c>
      <c r="AC52" s="471" t="s">
        <v>360</v>
      </c>
      <c r="AD52" s="471" t="s">
        <v>361</v>
      </c>
      <c r="AE52" s="471" t="s">
        <v>362</v>
      </c>
      <c r="AF52" s="472">
        <f t="shared" si="91"/>
        <v>0.12</v>
      </c>
      <c r="AG52" s="473" t="str">
        <f t="shared" si="92"/>
        <v>Muy Baja</v>
      </c>
      <c r="AH52" s="470">
        <f t="shared" si="93"/>
        <v>0.12</v>
      </c>
      <c r="AI52" s="473" t="str">
        <f t="shared" si="94"/>
        <v>Moderado</v>
      </c>
      <c r="AJ52" s="470">
        <f t="shared" si="95"/>
        <v>0.6</v>
      </c>
      <c r="AK52" s="474" t="str">
        <f t="shared" si="96"/>
        <v>Moderado</v>
      </c>
      <c r="AL52" s="471" t="s">
        <v>363</v>
      </c>
      <c r="AM52" s="475" t="s">
        <v>447</v>
      </c>
      <c r="AN52" s="475" t="s">
        <v>448</v>
      </c>
      <c r="AO52" s="392">
        <v>44927</v>
      </c>
      <c r="AP52" s="392">
        <v>45291</v>
      </c>
      <c r="AQ52" s="476" t="s">
        <v>437</v>
      </c>
      <c r="AR52" s="477" t="s">
        <v>449</v>
      </c>
      <c r="AS52" s="461" t="s">
        <v>368</v>
      </c>
      <c r="AT52" s="424">
        <v>0</v>
      </c>
      <c r="AU52" s="463"/>
      <c r="AV52" s="426"/>
      <c r="AW52" s="427"/>
    </row>
    <row r="53" spans="1:77" s="428" customFormat="1" ht="285.75" hidden="1" customHeight="1" thickBot="1" x14ac:dyDescent="0.35">
      <c r="A53" s="608"/>
      <c r="B53" s="608"/>
      <c r="C53" s="608"/>
      <c r="D53" s="524" t="s">
        <v>345</v>
      </c>
      <c r="E53" s="608"/>
      <c r="F53" s="608" t="s">
        <v>347</v>
      </c>
      <c r="G53" s="610"/>
      <c r="H53" s="452" t="s">
        <v>491</v>
      </c>
      <c r="I53" s="612"/>
      <c r="J53" s="464" t="s">
        <v>446</v>
      </c>
      <c r="K53" s="456" t="s">
        <v>8</v>
      </c>
      <c r="L53" s="457" t="s">
        <v>8</v>
      </c>
      <c r="M53" s="458" t="s">
        <v>78</v>
      </c>
      <c r="N53" s="460" t="s">
        <v>354</v>
      </c>
      <c r="O53" s="353">
        <v>1</v>
      </c>
      <c r="P53" s="184" t="str">
        <f t="shared" si="99"/>
        <v>Muy Baja</v>
      </c>
      <c r="Q53" s="185">
        <f t="shared" si="100"/>
        <v>0.2</v>
      </c>
      <c r="R53" s="186" t="s">
        <v>388</v>
      </c>
      <c r="S53" s="187" t="str">
        <f>IF(NOT(ISERROR(MATCH(R53,'Tabla Impacto'!$B$221:$B$223,0))),'Tabla Impacto'!$F$223&amp;"Por favor no seleccionar los criterios de impacto(Afectación Económica o presupuestal y Pérdida Reputacional)",R53)</f>
        <v xml:space="preserve">     El riesgo afecta la imagen de la entidad con algunos usuarios de relevancia frente al logro de los objetivos</v>
      </c>
      <c r="T53" s="184" t="str">
        <f>IF(OR(S53='Tabla Impacto'!$C$11,S53='Tabla Impacto'!$D$11),"Leve",IF(OR(S53='Tabla Impacto'!$C$12,S53='Tabla Impacto'!$D$12),"Menor",IF(OR(S53='Tabla Impacto'!$C$13,S53='Tabla Impacto'!$D$13),"Moderado",IF(OR(S53='Tabla Impacto'!$C$14,S53='Tabla Impacto'!$D$14),"Mayor",IF(OR(S53='Tabla Impacto'!$C$15,S53='Tabla Impacto'!$D$15),"Catastrófico","")))))</f>
        <v>Moderado</v>
      </c>
      <c r="U53" s="185">
        <f t="shared" si="101"/>
        <v>0.6</v>
      </c>
      <c r="V53" s="354" t="str">
        <f t="shared" si="102"/>
        <v>Moderado</v>
      </c>
      <c r="W53" s="499" t="s">
        <v>492</v>
      </c>
      <c r="X53" s="478" t="s">
        <v>493</v>
      </c>
      <c r="Y53" s="479" t="str">
        <f t="shared" si="89"/>
        <v>Probabilidad</v>
      </c>
      <c r="Z53" s="480" t="s">
        <v>358</v>
      </c>
      <c r="AA53" s="480" t="s">
        <v>359</v>
      </c>
      <c r="AB53" s="481" t="str">
        <f t="shared" si="90"/>
        <v>40%</v>
      </c>
      <c r="AC53" s="482" t="s">
        <v>360</v>
      </c>
      <c r="AD53" s="482" t="s">
        <v>361</v>
      </c>
      <c r="AE53" s="482" t="s">
        <v>362</v>
      </c>
      <c r="AF53" s="483">
        <f t="shared" si="91"/>
        <v>0.12</v>
      </c>
      <c r="AG53" s="484" t="str">
        <f t="shared" si="92"/>
        <v>Muy Baja</v>
      </c>
      <c r="AH53" s="481">
        <f t="shared" si="93"/>
        <v>0.12</v>
      </c>
      <c r="AI53" s="484" t="str">
        <f t="shared" si="94"/>
        <v>Moderado</v>
      </c>
      <c r="AJ53" s="481">
        <f t="shared" si="95"/>
        <v>0.6</v>
      </c>
      <c r="AK53" s="485" t="str">
        <f t="shared" si="96"/>
        <v>Moderado</v>
      </c>
      <c r="AL53" s="486" t="s">
        <v>363</v>
      </c>
      <c r="AM53" s="487" t="s">
        <v>528</v>
      </c>
      <c r="AN53" s="488" t="s">
        <v>448</v>
      </c>
      <c r="AO53" s="392">
        <v>44927</v>
      </c>
      <c r="AP53" s="392">
        <v>45291</v>
      </c>
      <c r="AQ53" s="476" t="s">
        <v>437</v>
      </c>
      <c r="AR53" s="477" t="s">
        <v>529</v>
      </c>
      <c r="AS53" s="461" t="s">
        <v>368</v>
      </c>
      <c r="AT53" s="424">
        <v>0.85</v>
      </c>
      <c r="AU53" s="463"/>
      <c r="AV53" s="426"/>
      <c r="AW53" s="427"/>
    </row>
    <row r="54" spans="1:77" s="428" customFormat="1" ht="151.5" hidden="1" customHeight="1" thickBot="1" x14ac:dyDescent="0.35">
      <c r="A54" s="607" t="s">
        <v>406</v>
      </c>
      <c r="B54" s="607" t="s">
        <v>530</v>
      </c>
      <c r="C54" s="607" t="s">
        <v>531</v>
      </c>
      <c r="D54" s="524" t="s">
        <v>345</v>
      </c>
      <c r="E54" s="607" t="s">
        <v>346</v>
      </c>
      <c r="F54" s="607" t="s">
        <v>496</v>
      </c>
      <c r="G54" s="609" t="s">
        <v>532</v>
      </c>
      <c r="H54" s="158" t="s">
        <v>459</v>
      </c>
      <c r="I54" s="432" t="s">
        <v>17</v>
      </c>
      <c r="J54" s="604" t="s">
        <v>351</v>
      </c>
      <c r="K54" s="604" t="s">
        <v>8</v>
      </c>
      <c r="L54" s="604" t="s">
        <v>8</v>
      </c>
      <c r="M54" s="158" t="s">
        <v>353</v>
      </c>
      <c r="N54" s="155" t="s">
        <v>354</v>
      </c>
      <c r="O54" s="140">
        <v>1</v>
      </c>
      <c r="P54" s="141" t="str">
        <f t="shared" si="99"/>
        <v>Muy Baja</v>
      </c>
      <c r="Q54" s="142">
        <f t="shared" si="100"/>
        <v>0.2</v>
      </c>
      <c r="R54" s="143" t="s">
        <v>490</v>
      </c>
      <c r="S54" s="143" t="s">
        <v>490</v>
      </c>
      <c r="T54" s="184" t="str">
        <f>IF(OR(S54='Tabla Impacto'!$C$11,S54='Tabla Impacto'!$D$11),"Leve",IF(OR(S54='Tabla Impacto'!$C$12,S54='Tabla Impacto'!$D$12),"Menor",IF(OR(S54='Tabla Impacto'!$C$13,S54='Tabla Impacto'!$D$13),"Moderado",IF(OR(S54='Tabla Impacto'!$C$14,S54='Tabla Impacto'!$D$14),"Mayor",IF(OR(S54='Tabla Impacto'!$C$15,S54='Tabla Impacto'!$D$15),"Catastrófico","")))))</f>
        <v>Mayor</v>
      </c>
      <c r="U54" s="142">
        <f t="shared" si="101"/>
        <v>0.8</v>
      </c>
      <c r="V54" s="153" t="str">
        <f t="shared" si="102"/>
        <v>Alto</v>
      </c>
      <c r="W54" s="154" t="s">
        <v>356</v>
      </c>
      <c r="X54" s="405" t="s">
        <v>533</v>
      </c>
      <c r="Y54" s="145" t="str">
        <f t="shared" ref="Y54:Y55" si="103">IF(OR(Z54="Preventivo",Z54="Detectivo"),"Probabilidad",IF(Z54="Correctivo","Impacto",""))</f>
        <v>Probabilidad</v>
      </c>
      <c r="Z54" s="146" t="s">
        <v>522</v>
      </c>
      <c r="AA54" s="146" t="s">
        <v>359</v>
      </c>
      <c r="AB54" s="147" t="str">
        <f t="shared" ref="AB54:AB55" si="104">IF(AND(Z54="Preventivo",AA54="Automático"),"50%",IF(AND(Z54="Preventivo",AA54="Manual"),"40%",IF(AND(Z54="Detectivo",AA54="Automático"),"40%",IF(AND(Z54="Detectivo",AA54="Manual"),"30%",IF(AND(Z54="Correctivo",AA54="Automático"),"35%",IF(AND(Z54="Correctivo",AA54="Manual"),"25%",""))))))</f>
        <v>30%</v>
      </c>
      <c r="AC54" s="146" t="s">
        <v>360</v>
      </c>
      <c r="AD54" s="146" t="s">
        <v>361</v>
      </c>
      <c r="AE54" s="146" t="s">
        <v>362</v>
      </c>
      <c r="AF54" s="148">
        <f t="shared" ref="AF54:AF55" si="105">IFERROR(IF(Y54="Probabilidad",(Q54-(+Q54*AB54)),IF(Y54="Impacto",Q54,"")),"")</f>
        <v>0.14000000000000001</v>
      </c>
      <c r="AG54" s="149" t="str">
        <f t="shared" ref="AG54:AG55" si="106">IFERROR(IF(AF54="","",IF(AF54&lt;=0.2,"Muy Baja",IF(AF54&lt;=0.4,"Baja",IF(AF54&lt;=0.6,"Media",IF(AF54&lt;=0.8,"Alta","Muy Alta"))))),"")</f>
        <v>Muy Baja</v>
      </c>
      <c r="AH54" s="147">
        <f t="shared" ref="AH54:AH55" si="107">+AF54</f>
        <v>0.14000000000000001</v>
      </c>
      <c r="AI54" s="149" t="str">
        <f t="shared" ref="AI54:AI55" si="108">IFERROR(IF(AJ54="","",IF(AJ54&lt;=0.2,"Leve",IF(AJ54&lt;=0.4,"Menor",IF(AJ54&lt;=0.6,"Moderado",IF(AJ54&lt;=0.8,"Mayor","Catastrófico"))))),"")</f>
        <v>Mayor</v>
      </c>
      <c r="AJ54" s="147">
        <f t="shared" ref="AJ54:AJ55" si="109">IFERROR(IF(Y54="Impacto",(U54-(+U54*AB54)),IF(Y54="Probabilidad",U54,"")),"")</f>
        <v>0.8</v>
      </c>
      <c r="AK54" s="150" t="str">
        <f t="shared" ref="AK54:AK55" si="110">IFERROR(IF(OR(AND(AG54="Muy Baja",AI54="Leve"),AND(AG54="Muy Baja",AI54="Menor"),AND(AG54="Baja",AI54="Leve")),"Bajo",IF(OR(AND(AG54="Muy baja",AI54="Moderado"),AND(AG54="Baja",AI54="Menor"),AND(AG54="Baja",AI54="Moderado"),AND(AG54="Media",AI54="Leve"),AND(AG54="Media",AI54="Menor"),AND(AG54="Media",AI54="Moderado"),AND(AG54="Alta",AI54="Leve"),AND(AG54="Alta",AI54="Menor")),"Moderado",IF(OR(AND(AG54="Muy Baja",AI54="Mayor"),AND(AG54="Baja",AI54="Mayor"),AND(AG54="Media",AI54="Mayor"),AND(AG54="Alta",AI54="Moderado"),AND(AG54="Alta",AI54="Mayor"),AND(AG54="Muy Alta",AI54="Leve"),AND(AG54="Muy Alta",AI54="Menor"),AND(AG54="Muy Alta",AI54="Moderado"),AND(AG54="Muy Alta",AI54="Mayor")),"Alto",IF(OR(AND(AG54="Muy Baja",AI54="Catastrófico"),AND(AG54="Baja",AI54="Catastrófico"),AND(AG54="Media",AI54="Catastrófico"),AND(AG54="Alta",AI54="Catastrófico"),AND(AG54="Muy Alta",AI54="Catastrófico")),"Extremo","")))),"")</f>
        <v>Alto</v>
      </c>
      <c r="AL54" s="146"/>
      <c r="AM54" s="155" t="s">
        <v>364</v>
      </c>
      <c r="AN54" s="155" t="s">
        <v>517</v>
      </c>
      <c r="AO54" s="392">
        <v>44927</v>
      </c>
      <c r="AP54" s="392">
        <v>45291</v>
      </c>
      <c r="AQ54" s="312" t="s">
        <v>437</v>
      </c>
      <c r="AR54" s="155" t="s">
        <v>523</v>
      </c>
      <c r="AS54" s="392" t="s">
        <v>368</v>
      </c>
      <c r="AT54" s="183">
        <v>0.9</v>
      </c>
      <c r="AU54" s="463"/>
      <c r="AV54" s="426"/>
      <c r="AW54" s="427"/>
    </row>
    <row r="55" spans="1:77" s="428" customFormat="1" ht="285.75" hidden="1" customHeight="1" thickBot="1" x14ac:dyDescent="0.35">
      <c r="A55" s="608"/>
      <c r="B55" s="608"/>
      <c r="C55" s="608"/>
      <c r="D55" s="524" t="s">
        <v>345</v>
      </c>
      <c r="E55" s="608"/>
      <c r="F55" s="608" t="s">
        <v>347</v>
      </c>
      <c r="G55" s="610"/>
      <c r="H55" s="253" t="s">
        <v>23</v>
      </c>
      <c r="I55" s="433" t="s">
        <v>18</v>
      </c>
      <c r="J55" s="605"/>
      <c r="K55" s="605"/>
      <c r="L55" s="605"/>
      <c r="M55" s="253" t="s">
        <v>387</v>
      </c>
      <c r="N55" s="169" t="s">
        <v>354</v>
      </c>
      <c r="O55" s="170">
        <v>1</v>
      </c>
      <c r="P55" s="171" t="str">
        <f t="shared" si="99"/>
        <v>Muy Baja</v>
      </c>
      <c r="Q55" s="172">
        <f t="shared" si="100"/>
        <v>0.2</v>
      </c>
      <c r="R55" s="143" t="s">
        <v>490</v>
      </c>
      <c r="S55" s="143" t="s">
        <v>490</v>
      </c>
      <c r="T55" s="171" t="str">
        <f>IF(OR(S55='Tabla Impacto'!$C$11,S55='Tabla Impacto'!$D$11),"Leve",IF(OR(S55='Tabla Impacto'!$C$12,S55='Tabla Impacto'!$D$12),"Menor",IF(OR(S55='Tabla Impacto'!$C$13,S55='Tabla Impacto'!$D$13),"Moderado",IF(OR(S55='Tabla Impacto'!$C$14,S55='Tabla Impacto'!$D$14),"Mayor",IF(OR(S55='Tabla Impacto'!$C$15,S55='Tabla Impacto'!$D$15),"Catastrófico","")))))</f>
        <v>Mayor</v>
      </c>
      <c r="U55" s="172">
        <f t="shared" si="101"/>
        <v>0.8</v>
      </c>
      <c r="V55" s="175" t="str">
        <f t="shared" si="102"/>
        <v>Alto</v>
      </c>
      <c r="W55" s="495"/>
      <c r="X55" s="416" t="s">
        <v>534</v>
      </c>
      <c r="Y55" s="313" t="str">
        <f t="shared" si="103"/>
        <v>Probabilidad</v>
      </c>
      <c r="Z55" s="177" t="s">
        <v>522</v>
      </c>
      <c r="AA55" s="177" t="s">
        <v>359</v>
      </c>
      <c r="AB55" s="178" t="str">
        <f t="shared" si="104"/>
        <v>30%</v>
      </c>
      <c r="AC55" s="177" t="s">
        <v>360</v>
      </c>
      <c r="AD55" s="177" t="s">
        <v>361</v>
      </c>
      <c r="AE55" s="177" t="s">
        <v>362</v>
      </c>
      <c r="AF55" s="179">
        <f t="shared" si="105"/>
        <v>0.14000000000000001</v>
      </c>
      <c r="AG55" s="180" t="str">
        <f t="shared" si="106"/>
        <v>Muy Baja</v>
      </c>
      <c r="AH55" s="178">
        <f t="shared" si="107"/>
        <v>0.14000000000000001</v>
      </c>
      <c r="AI55" s="180" t="str">
        <f t="shared" si="108"/>
        <v>Mayor</v>
      </c>
      <c r="AJ55" s="178">
        <f t="shared" si="109"/>
        <v>0.8</v>
      </c>
      <c r="AK55" s="181" t="str">
        <f t="shared" si="110"/>
        <v>Alto</v>
      </c>
      <c r="AL55" s="177"/>
      <c r="AM55" s="169" t="s">
        <v>525</v>
      </c>
      <c r="AN55" s="169" t="s">
        <v>517</v>
      </c>
      <c r="AO55" s="392">
        <v>44927</v>
      </c>
      <c r="AP55" s="392">
        <v>45291</v>
      </c>
      <c r="AQ55" s="169" t="s">
        <v>526</v>
      </c>
      <c r="AR55" s="169" t="s">
        <v>478</v>
      </c>
      <c r="AS55" s="392" t="s">
        <v>368</v>
      </c>
      <c r="AT55" s="183">
        <v>0.65</v>
      </c>
      <c r="AU55" s="463"/>
      <c r="AV55" s="426"/>
      <c r="AW55" s="427"/>
    </row>
    <row r="56" spans="1:77" x14ac:dyDescent="0.3">
      <c r="W56" s="5"/>
    </row>
  </sheetData>
  <autoFilter ref="A14:KD55" xr:uid="{00000000-0001-0000-0100-000000000000}">
    <filterColumn colId="1">
      <filters>
        <filter val="Gestión Jurídica"/>
      </filters>
    </filterColumn>
  </autoFilter>
  <dataConsolidate/>
  <mergeCells count="195">
    <mergeCell ref="L54:L55"/>
    <mergeCell ref="A54:A55"/>
    <mergeCell ref="B54:B55"/>
    <mergeCell ref="C54:C55"/>
    <mergeCell ref="E54:E55"/>
    <mergeCell ref="F54:F55"/>
    <mergeCell ref="G54:G55"/>
    <mergeCell ref="J54:J55"/>
    <mergeCell ref="K54:K55"/>
    <mergeCell ref="G8:V8"/>
    <mergeCell ref="W8:Y8"/>
    <mergeCell ref="A12:O12"/>
    <mergeCell ref="P12:V12"/>
    <mergeCell ref="W12:AE12"/>
    <mergeCell ref="T13:T14"/>
    <mergeCell ref="U13:U14"/>
    <mergeCell ref="F13:F14"/>
    <mergeCell ref="V13:V14"/>
    <mergeCell ref="R13:R14"/>
    <mergeCell ref="O13:O14"/>
    <mergeCell ref="P13:P14"/>
    <mergeCell ref="Y13:Y14"/>
    <mergeCell ref="Z13:AE13"/>
    <mergeCell ref="S13:S14"/>
    <mergeCell ref="J13:M13"/>
    <mergeCell ref="A10:AT10"/>
    <mergeCell ref="AM12:AT12"/>
    <mergeCell ref="B13:B14"/>
    <mergeCell ref="AT13:AT14"/>
    <mergeCell ref="AF12:AL12"/>
    <mergeCell ref="AS13:AS14"/>
    <mergeCell ref="AR13:AR14"/>
    <mergeCell ref="AP13:AP14"/>
    <mergeCell ref="K39:K40"/>
    <mergeCell ref="E48:E49"/>
    <mergeCell ref="F48:F49"/>
    <mergeCell ref="G48:G49"/>
    <mergeCell ref="L48:L49"/>
    <mergeCell ref="G15:G16"/>
    <mergeCell ref="F15:F16"/>
    <mergeCell ref="E15:E16"/>
    <mergeCell ref="K32:K33"/>
    <mergeCell ref="L32:L33"/>
    <mergeCell ref="L19:L20"/>
    <mergeCell ref="J29:J30"/>
    <mergeCell ref="K29:K30"/>
    <mergeCell ref="L29:L30"/>
    <mergeCell ref="L17:L18"/>
    <mergeCell ref="J17:J18"/>
    <mergeCell ref="K17:K18"/>
    <mergeCell ref="L39:L40"/>
    <mergeCell ref="I41:I42"/>
    <mergeCell ref="G41:G42"/>
    <mergeCell ref="E41:E42"/>
    <mergeCell ref="I34:I35"/>
    <mergeCell ref="E34:E35"/>
    <mergeCell ref="F34:F35"/>
    <mergeCell ref="A39:A40"/>
    <mergeCell ref="B39:B40"/>
    <mergeCell ref="C39:C40"/>
    <mergeCell ref="E39:E40"/>
    <mergeCell ref="F39:F40"/>
    <mergeCell ref="G39:G40"/>
    <mergeCell ref="I39:I40"/>
    <mergeCell ref="J39:J40"/>
    <mergeCell ref="C41:C42"/>
    <mergeCell ref="B41:B42"/>
    <mergeCell ref="A41:A42"/>
    <mergeCell ref="H41:H42"/>
    <mergeCell ref="J41:J42"/>
    <mergeCell ref="W24:W25"/>
    <mergeCell ref="C13:C14"/>
    <mergeCell ref="E13:E14"/>
    <mergeCell ref="AM13:AM14"/>
    <mergeCell ref="AI13:AI14"/>
    <mergeCell ref="AG13:AG14"/>
    <mergeCell ref="AH13:AH14"/>
    <mergeCell ref="A13:A14"/>
    <mergeCell ref="N13:N14"/>
    <mergeCell ref="I13:I14"/>
    <mergeCell ref="H13:H14"/>
    <mergeCell ref="G13:G14"/>
    <mergeCell ref="AL13:AL14"/>
    <mergeCell ref="AJ13:AJ14"/>
    <mergeCell ref="AF13:AF14"/>
    <mergeCell ref="X13:X14"/>
    <mergeCell ref="Q13:Q14"/>
    <mergeCell ref="A17:A18"/>
    <mergeCell ref="B17:B18"/>
    <mergeCell ref="C17:C18"/>
    <mergeCell ref="E17:E18"/>
    <mergeCell ref="F17:F18"/>
    <mergeCell ref="G17:G18"/>
    <mergeCell ref="I17:I18"/>
    <mergeCell ref="AO13:AO14"/>
    <mergeCell ref="AN13:AN14"/>
    <mergeCell ref="AQ13:AQ14"/>
    <mergeCell ref="W13:W14"/>
    <mergeCell ref="AK13:AK14"/>
    <mergeCell ref="A19:A20"/>
    <mergeCell ref="B19:B20"/>
    <mergeCell ref="C19:C20"/>
    <mergeCell ref="E19:E20"/>
    <mergeCell ref="F19:F20"/>
    <mergeCell ref="G19:G20"/>
    <mergeCell ref="I19:I20"/>
    <mergeCell ref="J19:J20"/>
    <mergeCell ref="K19:K20"/>
    <mergeCell ref="C15:C16"/>
    <mergeCell ref="B15:B16"/>
    <mergeCell ref="A15:A16"/>
    <mergeCell ref="A26:A27"/>
    <mergeCell ref="B26:B27"/>
    <mergeCell ref="C26:C27"/>
    <mergeCell ref="E26:E27"/>
    <mergeCell ref="F26:F27"/>
    <mergeCell ref="G26:G27"/>
    <mergeCell ref="I26:I27"/>
    <mergeCell ref="A24:A25"/>
    <mergeCell ref="B24:B25"/>
    <mergeCell ref="C24:C25"/>
    <mergeCell ref="E24:E25"/>
    <mergeCell ref="F24:F25"/>
    <mergeCell ref="G24:G25"/>
    <mergeCell ref="A29:A30"/>
    <mergeCell ref="B29:B30"/>
    <mergeCell ref="C29:C30"/>
    <mergeCell ref="E29:E30"/>
    <mergeCell ref="F29:F30"/>
    <mergeCell ref="G29:G30"/>
    <mergeCell ref="I29:I30"/>
    <mergeCell ref="A32:A33"/>
    <mergeCell ref="B32:B33"/>
    <mergeCell ref="C32:C33"/>
    <mergeCell ref="E32:E33"/>
    <mergeCell ref="F32:F33"/>
    <mergeCell ref="G32:G33"/>
    <mergeCell ref="H32:H33"/>
    <mergeCell ref="I32:I33"/>
    <mergeCell ref="M32:M33"/>
    <mergeCell ref="N32:N33"/>
    <mergeCell ref="J32:J33"/>
    <mergeCell ref="A34:A35"/>
    <mergeCell ref="A37:A38"/>
    <mergeCell ref="B37:B38"/>
    <mergeCell ref="C37:C38"/>
    <mergeCell ref="E37:E38"/>
    <mergeCell ref="F37:F38"/>
    <mergeCell ref="G37:G38"/>
    <mergeCell ref="I37:I38"/>
    <mergeCell ref="B34:B35"/>
    <mergeCell ref="C34:C35"/>
    <mergeCell ref="G34:G35"/>
    <mergeCell ref="K41:K42"/>
    <mergeCell ref="L41:L42"/>
    <mergeCell ref="M41:M42"/>
    <mergeCell ref="N41:N42"/>
    <mergeCell ref="J50:J51"/>
    <mergeCell ref="K50:K51"/>
    <mergeCell ref="L50:L51"/>
    <mergeCell ref="H50:H51"/>
    <mergeCell ref="M50:M51"/>
    <mergeCell ref="N50:N51"/>
    <mergeCell ref="W46:W47"/>
    <mergeCell ref="AN46:AN47"/>
    <mergeCell ref="A43:A44"/>
    <mergeCell ref="B43:B44"/>
    <mergeCell ref="C43:C44"/>
    <mergeCell ref="E43:E44"/>
    <mergeCell ref="F43:F44"/>
    <mergeCell ref="G43:G44"/>
    <mergeCell ref="A46:A47"/>
    <mergeCell ref="F46:F47"/>
    <mergeCell ref="B46:B47"/>
    <mergeCell ref="C46:C47"/>
    <mergeCell ref="G46:G47"/>
    <mergeCell ref="A48:A49"/>
    <mergeCell ref="B48:B49"/>
    <mergeCell ref="C48:C49"/>
    <mergeCell ref="J48:J49"/>
    <mergeCell ref="K48:K49"/>
    <mergeCell ref="E46:E47"/>
    <mergeCell ref="A52:A53"/>
    <mergeCell ref="B52:B53"/>
    <mergeCell ref="C52:C53"/>
    <mergeCell ref="E52:E53"/>
    <mergeCell ref="F52:F53"/>
    <mergeCell ref="G52:G53"/>
    <mergeCell ref="I52:I53"/>
    <mergeCell ref="G50:G51"/>
    <mergeCell ref="E50:E51"/>
    <mergeCell ref="C50:C51"/>
    <mergeCell ref="B50:B51"/>
    <mergeCell ref="A50:A51"/>
    <mergeCell ref="I50:I51"/>
  </mergeCells>
  <conditionalFormatting sqref="P15:P55 AG52:AG55">
    <cfRule type="cellIs" dxfId="101" priority="23" operator="equal">
      <formula>"Baja"</formula>
    </cfRule>
    <cfRule type="cellIs" dxfId="100" priority="20" operator="equal">
      <formula>"Muy Alta"</formula>
    </cfRule>
    <cfRule type="cellIs" dxfId="99" priority="21" operator="equal">
      <formula>"Alta"</formula>
    </cfRule>
    <cfRule type="cellIs" dxfId="98" priority="22" operator="equal">
      <formula>"Media"</formula>
    </cfRule>
    <cfRule type="cellIs" dxfId="97" priority="24" operator="equal">
      <formula>"Muy Baja"</formula>
    </cfRule>
  </conditionalFormatting>
  <conditionalFormatting sqref="S15:S33">
    <cfRule type="containsText" dxfId="96" priority="759" operator="containsText" text="❌">
      <formula>NOT(ISERROR(SEARCH("❌",S15)))</formula>
    </cfRule>
  </conditionalFormatting>
  <conditionalFormatting sqref="S35">
    <cfRule type="containsText" dxfId="95" priority="685" operator="containsText" text="❌">
      <formula>NOT(ISERROR(SEARCH("❌",S35)))</formula>
    </cfRule>
  </conditionalFormatting>
  <conditionalFormatting sqref="S39:S42">
    <cfRule type="containsText" dxfId="94" priority="561" operator="containsText" text="❌">
      <formula>NOT(ISERROR(SEARCH("❌",S39)))</formula>
    </cfRule>
  </conditionalFormatting>
  <conditionalFormatting sqref="S44:S47">
    <cfRule type="containsText" dxfId="93" priority="424" operator="containsText" text="❌">
      <formula>NOT(ISERROR(SEARCH("❌",S44)))</formula>
    </cfRule>
  </conditionalFormatting>
  <conditionalFormatting sqref="S50:S53">
    <cfRule type="containsText" dxfId="92" priority="92" operator="containsText" text="❌">
      <formula>NOT(ISERROR(SEARCH("❌",S50)))</formula>
    </cfRule>
  </conditionalFormatting>
  <conditionalFormatting sqref="T15:T31">
    <cfRule type="cellIs" dxfId="91" priority="773" operator="equal">
      <formula>"Leve"</formula>
    </cfRule>
    <cfRule type="cellIs" dxfId="90" priority="771" operator="equal">
      <formula>"Moderado"</formula>
    </cfRule>
    <cfRule type="cellIs" dxfId="89" priority="770" operator="equal">
      <formula>"Mayor"</formula>
    </cfRule>
    <cfRule type="cellIs" dxfId="88" priority="769" operator="equal">
      <formula>"Catastrófico"</formula>
    </cfRule>
    <cfRule type="cellIs" dxfId="87" priority="772" operator="equal">
      <formula>"Menor"</formula>
    </cfRule>
  </conditionalFormatting>
  <conditionalFormatting sqref="T34:T40">
    <cfRule type="cellIs" dxfId="86" priority="604" operator="equal">
      <formula>"Menor"</formula>
    </cfRule>
    <cfRule type="cellIs" dxfId="85" priority="603" operator="equal">
      <formula>"Moderado"</formula>
    </cfRule>
    <cfRule type="cellIs" dxfId="84" priority="602" operator="equal">
      <formula>"Mayor"</formula>
    </cfRule>
    <cfRule type="cellIs" dxfId="83" priority="601" operator="equal">
      <formula>"Catastrófico"</formula>
    </cfRule>
    <cfRule type="cellIs" dxfId="82" priority="605" operator="equal">
      <formula>"Leve"</formula>
    </cfRule>
  </conditionalFormatting>
  <conditionalFormatting sqref="T43:T55">
    <cfRule type="cellIs" dxfId="81" priority="8" operator="equal">
      <formula>"Menor"</formula>
    </cfRule>
    <cfRule type="cellIs" dxfId="80" priority="5" operator="equal">
      <formula>"Catastrófico"</formula>
    </cfRule>
    <cfRule type="cellIs" dxfId="79" priority="6" operator="equal">
      <formula>"Mayor"</formula>
    </cfRule>
    <cfRule type="cellIs" dxfId="78" priority="7" operator="equal">
      <formula>"Moderado"</formula>
    </cfRule>
    <cfRule type="cellIs" dxfId="77" priority="9" operator="equal">
      <formula>"Leve"</formula>
    </cfRule>
  </conditionalFormatting>
  <conditionalFormatting sqref="V15:V31">
    <cfRule type="cellIs" dxfId="76" priority="761" operator="equal">
      <formula>"Alto"</formula>
    </cfRule>
    <cfRule type="cellIs" dxfId="75" priority="763" operator="equal">
      <formula>"Bajo"</formula>
    </cfRule>
    <cfRule type="cellIs" dxfId="74" priority="762" operator="equal">
      <formula>"Moderado"</formula>
    </cfRule>
    <cfRule type="cellIs" dxfId="73" priority="760" operator="equal">
      <formula>"Extremo"</formula>
    </cfRule>
  </conditionalFormatting>
  <conditionalFormatting sqref="V34:V40">
    <cfRule type="cellIs" dxfId="72" priority="598" operator="equal">
      <formula>"Alto"</formula>
    </cfRule>
    <cfRule type="cellIs" dxfId="71" priority="597" operator="equal">
      <formula>"Extremo"</formula>
    </cfRule>
    <cfRule type="cellIs" dxfId="70" priority="600" operator="equal">
      <formula>"Bajo"</formula>
    </cfRule>
    <cfRule type="cellIs" dxfId="69" priority="599" operator="equal">
      <formula>"Moderado"</formula>
    </cfRule>
  </conditionalFormatting>
  <conditionalFormatting sqref="V43:V55">
    <cfRule type="cellIs" dxfId="68" priority="3" operator="equal">
      <formula>"Moderado"</formula>
    </cfRule>
    <cfRule type="cellIs" dxfId="67" priority="4" operator="equal">
      <formula>"Bajo"</formula>
    </cfRule>
    <cfRule type="cellIs" dxfId="66" priority="1" operator="equal">
      <formula>"Extremo"</formula>
    </cfRule>
    <cfRule type="cellIs" dxfId="65" priority="2" operator="equal">
      <formula>"Alto"</formula>
    </cfRule>
  </conditionalFormatting>
  <conditionalFormatting sqref="AG15:AG30">
    <cfRule type="cellIs" dxfId="64" priority="2312" operator="equal">
      <formula>"Muy Baja"</formula>
    </cfRule>
    <cfRule type="cellIs" dxfId="63" priority="2308" operator="equal">
      <formula>"Muy Alta"</formula>
    </cfRule>
    <cfRule type="cellIs" dxfId="62" priority="2309" operator="equal">
      <formula>"Alta"</formula>
    </cfRule>
    <cfRule type="cellIs" dxfId="61" priority="2310" operator="equal">
      <formula>"Media"</formula>
    </cfRule>
    <cfRule type="cellIs" dxfId="60" priority="2311" operator="equal">
      <formula>"Baja"</formula>
    </cfRule>
  </conditionalFormatting>
  <conditionalFormatting sqref="AG34:AG35">
    <cfRule type="cellIs" dxfId="59" priority="697" operator="equal">
      <formula>"Alta"</formula>
    </cfRule>
    <cfRule type="cellIs" dxfId="58" priority="698" operator="equal">
      <formula>"Media"</formula>
    </cfRule>
    <cfRule type="cellIs" dxfId="57" priority="699" operator="equal">
      <formula>"Baja"</formula>
    </cfRule>
    <cfRule type="cellIs" dxfId="56" priority="696" operator="equal">
      <formula>"Muy Alta"</formula>
    </cfRule>
    <cfRule type="cellIs" dxfId="55" priority="700" operator="equal">
      <formula>"Muy Baja"</formula>
    </cfRule>
  </conditionalFormatting>
  <conditionalFormatting sqref="AG37:AG40">
    <cfRule type="cellIs" dxfId="54" priority="579" operator="equal">
      <formula>"Media"</formula>
    </cfRule>
    <cfRule type="cellIs" dxfId="53" priority="581" operator="equal">
      <formula>"Muy Baja"</formula>
    </cfRule>
    <cfRule type="cellIs" dxfId="52" priority="580" operator="equal">
      <formula>"Baja"</formula>
    </cfRule>
    <cfRule type="cellIs" dxfId="51" priority="577" operator="equal">
      <formula>"Muy Alta"</formula>
    </cfRule>
    <cfRule type="cellIs" dxfId="50" priority="578" operator="equal">
      <formula>"Alta"</formula>
    </cfRule>
  </conditionalFormatting>
  <conditionalFormatting sqref="AG43:AG49">
    <cfRule type="cellIs" dxfId="49" priority="434" operator="equal">
      <formula>"Muy Alta"</formula>
    </cfRule>
    <cfRule type="cellIs" dxfId="48" priority="435" operator="equal">
      <formula>"Alta"</formula>
    </cfRule>
    <cfRule type="cellIs" dxfId="47" priority="436" operator="equal">
      <formula>"Media"</formula>
    </cfRule>
    <cfRule type="cellIs" dxfId="46" priority="437" operator="equal">
      <formula>"Baja"</formula>
    </cfRule>
    <cfRule type="cellIs" dxfId="45" priority="438" operator="equal">
      <formula>"Muy Baja"</formula>
    </cfRule>
  </conditionalFormatting>
  <conditionalFormatting sqref="AI15:AI30">
    <cfRule type="cellIs" dxfId="44" priority="2307" operator="equal">
      <formula>"Leve"</formula>
    </cfRule>
    <cfRule type="cellIs" dxfId="43" priority="2303" operator="equal">
      <formula>"Catastrófico"</formula>
    </cfRule>
    <cfRule type="cellIs" dxfId="42" priority="2304" operator="equal">
      <formula>"Mayor"</formula>
    </cfRule>
    <cfRule type="cellIs" dxfId="41" priority="2305" operator="equal">
      <formula>"Moderado"</formula>
    </cfRule>
    <cfRule type="cellIs" dxfId="40" priority="2306" operator="equal">
      <formula>"Menor"</formula>
    </cfRule>
  </conditionalFormatting>
  <conditionalFormatting sqref="AI34:AI35">
    <cfRule type="cellIs" dxfId="39" priority="692" operator="equal">
      <formula>"Mayor"</formula>
    </cfRule>
    <cfRule type="cellIs" dxfId="38" priority="694" operator="equal">
      <formula>"Menor"</formula>
    </cfRule>
    <cfRule type="cellIs" dxfId="37" priority="693" operator="equal">
      <formula>"Moderado"</formula>
    </cfRule>
    <cfRule type="cellIs" dxfId="36" priority="695" operator="equal">
      <formula>"Leve"</formula>
    </cfRule>
    <cfRule type="cellIs" dxfId="35" priority="691" operator="equal">
      <formula>"Catastrófico"</formula>
    </cfRule>
  </conditionalFormatting>
  <conditionalFormatting sqref="AI37:AI40">
    <cfRule type="cellIs" dxfId="34" priority="574" operator="equal">
      <formula>"Moderado"</formula>
    </cfRule>
    <cfRule type="cellIs" dxfId="33" priority="575" operator="equal">
      <formula>"Menor"</formula>
    </cfRule>
    <cfRule type="cellIs" dxfId="32" priority="576" operator="equal">
      <formula>"Leve"</formula>
    </cfRule>
    <cfRule type="cellIs" dxfId="31" priority="572" operator="equal">
      <formula>"Catastrófico"</formula>
    </cfRule>
    <cfRule type="cellIs" dxfId="30" priority="573" operator="equal">
      <formula>"Mayor"</formula>
    </cfRule>
  </conditionalFormatting>
  <conditionalFormatting sqref="AI43:AI49">
    <cfRule type="cellIs" dxfId="29" priority="433" operator="equal">
      <formula>"Leve"</formula>
    </cfRule>
    <cfRule type="cellIs" dxfId="28" priority="432" operator="equal">
      <formula>"Menor"</formula>
    </cfRule>
    <cfRule type="cellIs" dxfId="27" priority="431" operator="equal">
      <formula>"Moderado"</formula>
    </cfRule>
    <cfRule type="cellIs" dxfId="26" priority="430" operator="equal">
      <formula>"Mayor"</formula>
    </cfRule>
    <cfRule type="cellIs" dxfId="25" priority="429" operator="equal">
      <formula>"Catastrófico"</formula>
    </cfRule>
  </conditionalFormatting>
  <conditionalFormatting sqref="AI52:AI55">
    <cfRule type="cellIs" dxfId="24" priority="32" operator="equal">
      <formula>"Menor"</formula>
    </cfRule>
    <cfRule type="cellIs" dxfId="23" priority="31" operator="equal">
      <formula>"Moderado"</formula>
    </cfRule>
    <cfRule type="cellIs" dxfId="22" priority="30" operator="equal">
      <formula>"Mayor"</formula>
    </cfRule>
    <cfRule type="cellIs" dxfId="21" priority="29" operator="equal">
      <formula>"Catastrófico"</formula>
    </cfRule>
    <cfRule type="cellIs" dxfId="20" priority="33" operator="equal">
      <formula>"Leve"</formula>
    </cfRule>
  </conditionalFormatting>
  <conditionalFormatting sqref="AK15:AK30">
    <cfRule type="cellIs" dxfId="19" priority="2301" operator="equal">
      <formula>"Moderado"</formula>
    </cfRule>
    <cfRule type="cellIs" dxfId="18" priority="2299" operator="equal">
      <formula>"Extremo"</formula>
    </cfRule>
    <cfRule type="cellIs" dxfId="17" priority="2302" operator="equal">
      <formula>"Bajo"</formula>
    </cfRule>
    <cfRule type="cellIs" dxfId="16" priority="2300" operator="equal">
      <formula>"Alto"</formula>
    </cfRule>
  </conditionalFormatting>
  <conditionalFormatting sqref="AK34:AK35">
    <cfRule type="cellIs" dxfId="15" priority="690" operator="equal">
      <formula>"Bajo"</formula>
    </cfRule>
    <cfRule type="cellIs" dxfId="14" priority="689" operator="equal">
      <formula>"Moderado"</formula>
    </cfRule>
    <cfRule type="cellIs" dxfId="13" priority="687" operator="equal">
      <formula>"Extremo"</formula>
    </cfRule>
    <cfRule type="cellIs" dxfId="12" priority="688" operator="equal">
      <formula>"Alto"</formula>
    </cfRule>
  </conditionalFormatting>
  <conditionalFormatting sqref="AK37:AK40">
    <cfRule type="cellIs" dxfId="11" priority="571" operator="equal">
      <formula>"Bajo"</formula>
    </cfRule>
    <cfRule type="cellIs" dxfId="10" priority="569" operator="equal">
      <formula>"Alto"</formula>
    </cfRule>
    <cfRule type="cellIs" dxfId="9" priority="570" operator="equal">
      <formula>"Moderado"</formula>
    </cfRule>
    <cfRule type="cellIs" dxfId="8" priority="568" operator="equal">
      <formula>"Extremo"</formula>
    </cfRule>
  </conditionalFormatting>
  <conditionalFormatting sqref="AK43:AK49">
    <cfRule type="cellIs" dxfId="7" priority="428" operator="equal">
      <formula>"Bajo"</formula>
    </cfRule>
    <cfRule type="cellIs" dxfId="6" priority="427" operator="equal">
      <formula>"Moderado"</formula>
    </cfRule>
    <cfRule type="cellIs" dxfId="5" priority="426" operator="equal">
      <formula>"Alto"</formula>
    </cfRule>
    <cfRule type="cellIs" dxfId="4" priority="425" operator="equal">
      <formula>"Extremo"</formula>
    </cfRule>
  </conditionalFormatting>
  <conditionalFormatting sqref="AK52:AK55">
    <cfRule type="cellIs" dxfId="3" priority="26" operator="equal">
      <formula>"Alto"</formula>
    </cfRule>
    <cfRule type="cellIs" dxfId="2" priority="25" operator="equal">
      <formula>"Extremo"</formula>
    </cfRule>
    <cfRule type="cellIs" dxfId="1" priority="28" operator="equal">
      <formula>"Bajo"</formula>
    </cfRule>
    <cfRule type="cellIs" dxfId="0" priority="27" operator="equal">
      <formula>"Moderado"</formula>
    </cfRule>
  </conditionalFormatting>
  <dataValidations count="4">
    <dataValidation type="list" allowBlank="1" showInputMessage="1" showErrorMessage="1" sqref="E15 E19 E17 E21:E24 E31 E48 E28:E29 E26 E36 E39 E43 E45:E46" xr:uid="{FE2A8DA5-D440-4A28-8BFC-64AA29CA0BEF}">
      <formula1>"Riesgo de gestión, Riesgo de Seguridad Digital"</formula1>
    </dataValidation>
    <dataValidation allowBlank="1" showInputMessage="1" showErrorMessage="1" promptTitle="Riesgos de seguridad digital" prompt="La probabilidad y el impacto se determinan con base a la amenaza, no en las vulnerabilidades." sqref="M14" xr:uid="{297EBB5D-C6AC-4B8A-8850-72EEC2FDF5DA}"/>
    <dataValidation type="list" allowBlank="1" showInputMessage="1" showErrorMessage="1" sqref="J15:J17 J19 J31:J32 J43:J48 J21:J29 J34:J39 J41 J50 J52:J54" xr:uid="{DB448FFB-B944-4D4F-828F-B6DC96D17E4A}">
      <mc:AlternateContent xmlns:x12ac="http://schemas.microsoft.com/office/spreadsheetml/2011/1/ac" xmlns:mc="http://schemas.openxmlformats.org/markup-compatibility/2006">
        <mc:Choice Requires="x12ac">
          <x12ac:list>No Aplica, Confidencialidad, Integridad, Disponibilidad, Confidencialidad e Integridad, Confidencialidad y Disponibilidad, Integridad y Disponibilidad," Confidencialidad, Integridad y Disponibilidad"</x12ac:list>
        </mc:Choice>
        <mc:Fallback>
          <formula1>"No Aplica, Confidencialidad, Integridad, Disponibilidad, Confidencialidad e Integridad, Confidencialidad y Disponibilidad, Integridad y Disponibilidad, Confidencialidad, Integridad y Disponibilidad"</formula1>
        </mc:Fallback>
      </mc:AlternateContent>
    </dataValidation>
    <dataValidation type="list" allowBlank="1" showInputMessage="1" showErrorMessage="1" sqref="K15:K17 K19 K21:K27 K31:K32 K43:K48 K29 K34:K39 K41 K50 K52:K54" xr:uid="{4015C1C9-0E95-46E0-8F9F-221A1232BE46}">
      <formula1>"No Aplica, Información, Hardware, Software, Servicios, Personas, Instalaciones"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'Tabla Valoración controles'!$D$4:$D$6</xm:f>
          </x14:formula1>
          <xm:sqref>Z43:Z44 Z15:Z16</xm:sqref>
        </x14:dataValidation>
        <x14:dataValidation type="list" allowBlank="1" showInputMessage="1" showErrorMessage="1" xr:uid="{00000000-0002-0000-0100-000001000000}">
          <x14:formula1>
            <xm:f>'Tabla Valoración controles'!$D$7:$D$8</xm:f>
          </x14:formula1>
          <xm:sqref>AA43:AA44 AA15:AA16</xm:sqref>
        </x14:dataValidation>
        <x14:dataValidation type="list" allowBlank="1" showInputMessage="1" showErrorMessage="1" xr:uid="{00000000-0002-0000-0100-000002000000}">
          <x14:formula1>
            <xm:f>'Tabla Valoración controles'!$D$9:$D$10</xm:f>
          </x14:formula1>
          <xm:sqref>AC43:AC44 AC15:AC16</xm:sqref>
        </x14:dataValidation>
        <x14:dataValidation type="list" allowBlank="1" showInputMessage="1" showErrorMessage="1" xr:uid="{00000000-0002-0000-0100-000003000000}">
          <x14:formula1>
            <xm:f>'Tabla Valoración controles'!$D$11:$D$12</xm:f>
          </x14:formula1>
          <xm:sqref>AD43:AD44 AD15:AD16</xm:sqref>
        </x14:dataValidation>
        <x14:dataValidation type="list" allowBlank="1" showInputMessage="1" showErrorMessage="1" xr:uid="{00000000-0002-0000-0100-000005000000}">
          <x14:formula1>
            <xm:f>'Tabla Valoración controles'!$D$13:$D$14</xm:f>
          </x14:formula1>
          <xm:sqref>AE43:AE44 AE15:AE16</xm:sqref>
        </x14:dataValidation>
        <x14:dataValidation type="list" allowBlank="1" showInputMessage="1" showErrorMessage="1" xr:uid="{00000000-0002-0000-0100-000006000000}">
          <x14:formula1>
            <xm:f>'Opciones Tratamiento'!$B$13:$B$19</xm:f>
          </x14:formula1>
          <xm:sqref>N43:N44 N15:N16</xm:sqref>
        </x14:dataValidation>
        <x14:dataValidation type="list" allowBlank="1" showInputMessage="1" showErrorMessage="1" xr:uid="{00000000-0002-0000-0100-000008000000}">
          <x14:formula1>
            <xm:f>'Opciones Tratamiento'!$B$2:$B$5</xm:f>
          </x14:formula1>
          <xm:sqref>AL43:AL44 AL15:AL16</xm:sqref>
        </x14:dataValidation>
        <x14:dataValidation type="list" allowBlank="1" showInputMessage="1" showErrorMessage="1" xr:uid="{00000000-0002-0000-0100-000009000000}">
          <x14:formula1>
            <xm:f>'Tabla Impacto'!$F$210:$F$221</xm:f>
          </x14:formula1>
          <xm:sqref>R24:R25 R28 R31 R15:R22 R34:S34 R43:R44 S43 R48:S49 R54:S55 R36:S38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AH6" sqref="AH6:AI7"/>
    </sheetView>
  </sheetViews>
  <sheetFormatPr baseColWidth="10" defaultColWidth="11.42578125" defaultRowHeight="15" x14ac:dyDescent="0.25"/>
  <cols>
    <col min="2" max="9" width="5.7109375" customWidth="1"/>
    <col min="10" max="10" width="21.7109375" customWidth="1"/>
    <col min="11" max="14" width="5.7109375" customWidth="1"/>
    <col min="15" max="15" width="51" customWidth="1"/>
    <col min="16" max="34" width="5.7109375" customWidth="1"/>
    <col min="35" max="35" width="16.140625" customWidth="1"/>
    <col min="36" max="39" width="5.7109375" customWidth="1"/>
    <col min="41" max="46" width="5.7109375" customWidth="1"/>
  </cols>
  <sheetData>
    <row r="1" spans="1:99" x14ac:dyDescent="0.2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row>
    <row r="2" spans="1:99" ht="18" customHeight="1" x14ac:dyDescent="0.25">
      <c r="A2" s="77"/>
      <c r="B2" s="683" t="s">
        <v>535</v>
      </c>
      <c r="C2" s="683"/>
      <c r="D2" s="683"/>
      <c r="E2" s="683"/>
      <c r="F2" s="683"/>
      <c r="G2" s="683"/>
      <c r="H2" s="683"/>
      <c r="I2" s="683"/>
      <c r="J2" s="720" t="s">
        <v>249</v>
      </c>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row>
    <row r="3" spans="1:99" ht="18.75" customHeight="1" x14ac:dyDescent="0.25">
      <c r="A3" s="77"/>
      <c r="B3" s="683"/>
      <c r="C3" s="683"/>
      <c r="D3" s="683"/>
      <c r="E3" s="683"/>
      <c r="F3" s="683"/>
      <c r="G3" s="683"/>
      <c r="H3" s="683"/>
      <c r="I3" s="683"/>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c r="AL3" s="720"/>
      <c r="AM3" s="720"/>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row>
    <row r="4" spans="1:99" ht="15" customHeight="1" x14ac:dyDescent="0.25">
      <c r="A4" s="77"/>
      <c r="B4" s="683"/>
      <c r="C4" s="683"/>
      <c r="D4" s="683"/>
      <c r="E4" s="683"/>
      <c r="F4" s="683"/>
      <c r="G4" s="683"/>
      <c r="H4" s="683"/>
      <c r="I4" s="683"/>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0"/>
      <c r="AK4" s="720"/>
      <c r="AL4" s="720"/>
      <c r="AM4" s="720"/>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row>
    <row r="5" spans="1:99" ht="15.75" thickBot="1" x14ac:dyDescent="0.3">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row>
    <row r="6" spans="1:99" ht="15" customHeight="1" x14ac:dyDescent="0.25">
      <c r="A6" s="77"/>
      <c r="B6" s="731" t="s">
        <v>471</v>
      </c>
      <c r="C6" s="731"/>
      <c r="D6" s="732"/>
      <c r="E6" s="721" t="s">
        <v>536</v>
      </c>
      <c r="F6" s="722"/>
      <c r="G6" s="722"/>
      <c r="H6" s="722"/>
      <c r="I6" s="723"/>
      <c r="J6" s="717" t="e">
        <f>IF(AND('Mapa final'!#REF!="Muy Alta",'Mapa final'!#REF!="Leve"),CONCATENATE("R",'Mapa final'!#REF!),"")</f>
        <v>#REF!</v>
      </c>
      <c r="K6" s="718"/>
      <c r="L6" s="718" t="e">
        <f>IF(AND('Mapa final'!#REF!="Muy Alta",'Mapa final'!#REF!="Leve"),CONCATENATE("R",'Mapa final'!#REF!),"")</f>
        <v>#REF!</v>
      </c>
      <c r="M6" s="718"/>
      <c r="N6" s="718" t="str">
        <f>IF(AND('Mapa final'!$P$18="Muy Alta",'Mapa final'!$T$18="Leve"),CONCATENATE("R",'Mapa final'!$A$18),"")</f>
        <v/>
      </c>
      <c r="O6" s="719"/>
      <c r="P6" s="717" t="e">
        <f>IF(AND('Mapa final'!#REF!="Muy Alta",'Mapa final'!#REF!="Menor"),CONCATENATE("R",'Mapa final'!#REF!),"")</f>
        <v>#REF!</v>
      </c>
      <c r="Q6" s="718"/>
      <c r="R6" s="718" t="e">
        <f>IF(AND('Mapa final'!#REF!="Muy Alta",'Mapa final'!#REF!="Menor"),CONCATENATE("R",'Mapa final'!#REF!),"")</f>
        <v>#REF!</v>
      </c>
      <c r="S6" s="718"/>
      <c r="T6" s="718" t="str">
        <f>IF(AND('Mapa final'!$P$18="Muy Alta",'Mapa final'!$T$18="Menor"),CONCATENATE("R",'Mapa final'!$A$18),"")</f>
        <v/>
      </c>
      <c r="U6" s="719"/>
      <c r="V6" s="717" t="e">
        <f>IF(AND('Mapa final'!#REF!="Muy Alta",'Mapa final'!#REF!="Moderado"),CONCATENATE("R",'Mapa final'!#REF!),"")</f>
        <v>#REF!</v>
      </c>
      <c r="W6" s="718"/>
      <c r="X6" s="718" t="e">
        <f>IF(AND('Mapa final'!#REF!="Muy Alta",'Mapa final'!#REF!="Moderado"),CONCATENATE("R",'Mapa final'!#REF!),"")</f>
        <v>#REF!</v>
      </c>
      <c r="Y6" s="718"/>
      <c r="Z6" s="718" t="str">
        <f>IF(AND('Mapa final'!$P$18="Muy Alta",'Mapa final'!$T$18="Moderado"),CONCATENATE("R",'Mapa final'!$A$18),"")</f>
        <v/>
      </c>
      <c r="AA6" s="719"/>
      <c r="AB6" s="717" t="e">
        <f>IF(AND('Mapa final'!#REF!="Muy Alta",'Mapa final'!#REF!="Mayor"),CONCATENATE("R",'Mapa final'!#REF!),"")</f>
        <v>#REF!</v>
      </c>
      <c r="AC6" s="718"/>
      <c r="AD6" s="718" t="e">
        <f>IF(AND('Mapa final'!#REF!="Muy Alta",'Mapa final'!#REF!="Mayor"),CONCATENATE("R",'Mapa final'!#REF!),"")</f>
        <v>#REF!</v>
      </c>
      <c r="AE6" s="718"/>
      <c r="AF6" s="718" t="str">
        <f>IF(AND('Mapa final'!$P$18="Muy Alta",'Mapa final'!$T$18="Mayor"),CONCATENATE("R",'Mapa final'!$A$18),"")</f>
        <v/>
      </c>
      <c r="AG6" s="719"/>
      <c r="AH6" s="708" t="e">
        <f>IF(AND('Mapa final'!#REF!="Muy Alta",'Mapa final'!#REF!="Catastrófico"),CONCATENATE("R",'Mapa final'!A19),"")</f>
        <v>#REF!</v>
      </c>
      <c r="AI6" s="709"/>
      <c r="AJ6" s="709" t="e">
        <f>IF(AND('Mapa final'!#REF!="Muy Alta",'Mapa final'!#REF!="Catastrófico"),CONCATENATE("R",'Mapa final'!#REF!),"")</f>
        <v>#REF!</v>
      </c>
      <c r="AK6" s="709"/>
      <c r="AL6" s="709" t="str">
        <f>IF(AND('Mapa final'!$P$18="Muy Alta",'Mapa final'!$T$18="Catastrófico"),CONCATENATE("R",'Mapa final'!$A$18),"")</f>
        <v/>
      </c>
      <c r="AM6" s="710"/>
      <c r="AO6" s="733" t="s">
        <v>475</v>
      </c>
      <c r="AP6" s="734"/>
      <c r="AQ6" s="734"/>
      <c r="AR6" s="734"/>
      <c r="AS6" s="734"/>
      <c r="AT6" s="735"/>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row>
    <row r="7" spans="1:99" ht="15" customHeight="1" x14ac:dyDescent="0.25">
      <c r="A7" s="77"/>
      <c r="B7" s="731"/>
      <c r="C7" s="731"/>
      <c r="D7" s="732"/>
      <c r="E7" s="724"/>
      <c r="F7" s="725"/>
      <c r="G7" s="725"/>
      <c r="H7" s="725"/>
      <c r="I7" s="726"/>
      <c r="J7" s="711"/>
      <c r="K7" s="712"/>
      <c r="L7" s="712"/>
      <c r="M7" s="712"/>
      <c r="N7" s="712"/>
      <c r="O7" s="713"/>
      <c r="P7" s="711"/>
      <c r="Q7" s="712"/>
      <c r="R7" s="712"/>
      <c r="S7" s="712"/>
      <c r="T7" s="712"/>
      <c r="U7" s="713"/>
      <c r="V7" s="711"/>
      <c r="W7" s="712"/>
      <c r="X7" s="712"/>
      <c r="Y7" s="712"/>
      <c r="Z7" s="712"/>
      <c r="AA7" s="713"/>
      <c r="AB7" s="711"/>
      <c r="AC7" s="712"/>
      <c r="AD7" s="712"/>
      <c r="AE7" s="712"/>
      <c r="AF7" s="712"/>
      <c r="AG7" s="713"/>
      <c r="AH7" s="702"/>
      <c r="AI7" s="703"/>
      <c r="AJ7" s="703"/>
      <c r="AK7" s="703"/>
      <c r="AL7" s="703"/>
      <c r="AM7" s="704"/>
      <c r="AN7" s="77"/>
      <c r="AO7" s="736"/>
      <c r="AP7" s="737"/>
      <c r="AQ7" s="737"/>
      <c r="AR7" s="737"/>
      <c r="AS7" s="737"/>
      <c r="AT7" s="738"/>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row>
    <row r="8" spans="1:99" ht="15" customHeight="1" x14ac:dyDescent="0.25">
      <c r="A8" s="77"/>
      <c r="B8" s="731"/>
      <c r="C8" s="731"/>
      <c r="D8" s="732"/>
      <c r="E8" s="724"/>
      <c r="F8" s="725"/>
      <c r="G8" s="725"/>
      <c r="H8" s="725"/>
      <c r="I8" s="726"/>
      <c r="J8" s="711" t="e">
        <f>IF(AND('Mapa final'!#REF!="Muy Alta",'Mapa final'!#REF!="Leve"),CONCATENATE("R",'Mapa final'!#REF!),"")</f>
        <v>#REF!</v>
      </c>
      <c r="K8" s="712"/>
      <c r="L8" s="712" t="e">
        <f>IF(AND('Mapa final'!#REF!="Muy Alta",'Mapa final'!#REF!="Leve"),CONCATENATE("R",'Mapa final'!#REF!),"")</f>
        <v>#REF!</v>
      </c>
      <c r="M8" s="712"/>
      <c r="N8" s="712" t="str">
        <f>IF(AND('Mapa final'!$P$31="Muy Alta",'Mapa final'!$T$31="Leve"),CONCATENATE("R",'Mapa final'!$A$31),"")</f>
        <v/>
      </c>
      <c r="O8" s="713"/>
      <c r="P8" s="711" t="e">
        <f>IF(AND('Mapa final'!#REF!="Muy Alta",'Mapa final'!#REF!="Menor"),CONCATENATE("R",'Mapa final'!#REF!),"")</f>
        <v>#REF!</v>
      </c>
      <c r="Q8" s="712"/>
      <c r="R8" s="712" t="e">
        <f>IF(AND('Mapa final'!#REF!="Muy Alta",'Mapa final'!#REF!="Menor"),CONCATENATE("R",'Mapa final'!#REF!),"")</f>
        <v>#REF!</v>
      </c>
      <c r="S8" s="712"/>
      <c r="T8" s="712" t="str">
        <f>IF(AND('Mapa final'!$P$31="Muy Alta",'Mapa final'!$T$31="Menor"),CONCATENATE("R",'Mapa final'!$A$31),"")</f>
        <v/>
      </c>
      <c r="U8" s="713"/>
      <c r="V8" s="711" t="e">
        <f>IF(AND('Mapa final'!#REF!="Muy Alta",'Mapa final'!#REF!="Moderado"),CONCATENATE("R",'Mapa final'!#REF!),"")</f>
        <v>#REF!</v>
      </c>
      <c r="W8" s="712"/>
      <c r="X8" s="712" t="e">
        <f>IF(AND('Mapa final'!#REF!="Muy Alta",'Mapa final'!#REF!="Moderado"),CONCATENATE("R",'Mapa final'!#REF!),"")</f>
        <v>#REF!</v>
      </c>
      <c r="Y8" s="712"/>
      <c r="Z8" s="712" t="str">
        <f>IF(AND('Mapa final'!$P$31="Muy Alta",'Mapa final'!$T$31="Moderado"),CONCATENATE("R",'Mapa final'!$A$31),"")</f>
        <v/>
      </c>
      <c r="AA8" s="713"/>
      <c r="AB8" s="711" t="e">
        <f>IF(AND('Mapa final'!#REF!="Muy Alta",'Mapa final'!#REF!="Mayor"),CONCATENATE("R",'Mapa final'!#REF!),"")</f>
        <v>#REF!</v>
      </c>
      <c r="AC8" s="712"/>
      <c r="AD8" s="712" t="e">
        <f>IF(AND('Mapa final'!#REF!="Muy Alta",'Mapa final'!#REF!="Mayor"),CONCATENATE("R",'Mapa final'!#REF!),"")</f>
        <v>#REF!</v>
      </c>
      <c r="AE8" s="712"/>
      <c r="AF8" s="712" t="str">
        <f>IF(AND('Mapa final'!$P$31="Muy Alta",'Mapa final'!$T$31="Mayor"),CONCATENATE("R",'Mapa final'!$A$31),"")</f>
        <v/>
      </c>
      <c r="AG8" s="713"/>
      <c r="AH8" s="702" t="e">
        <f>IF(AND('Mapa final'!#REF!="Muy Alta",'Mapa final'!#REF!="Catastrófico"),CONCATENATE("R",'Mapa final'!#REF!),"")</f>
        <v>#REF!</v>
      </c>
      <c r="AI8" s="703"/>
      <c r="AJ8" s="703" t="e">
        <f>IF(AND('Mapa final'!#REF!="Muy Alta",'Mapa final'!#REF!="Catastrófico"),CONCATENATE("R",'Mapa final'!#REF!),"")</f>
        <v>#REF!</v>
      </c>
      <c r="AK8" s="703"/>
      <c r="AL8" s="703" t="str">
        <f>IF(AND('Mapa final'!$P$31="Muy Alta",'Mapa final'!$T$31="Catastrófico"),CONCATENATE("R",'Mapa final'!$A$31),"")</f>
        <v/>
      </c>
      <c r="AM8" s="704"/>
      <c r="AN8" s="77"/>
      <c r="AO8" s="736"/>
      <c r="AP8" s="737"/>
      <c r="AQ8" s="737"/>
      <c r="AR8" s="737"/>
      <c r="AS8" s="737"/>
      <c r="AT8" s="738"/>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row>
    <row r="9" spans="1:99" ht="15" customHeight="1" x14ac:dyDescent="0.25">
      <c r="A9" s="77"/>
      <c r="B9" s="731"/>
      <c r="C9" s="731"/>
      <c r="D9" s="732"/>
      <c r="E9" s="724"/>
      <c r="F9" s="725"/>
      <c r="G9" s="725"/>
      <c r="H9" s="725"/>
      <c r="I9" s="726"/>
      <c r="J9" s="711"/>
      <c r="K9" s="712"/>
      <c r="L9" s="712"/>
      <c r="M9" s="712"/>
      <c r="N9" s="712"/>
      <c r="O9" s="713"/>
      <c r="P9" s="711"/>
      <c r="Q9" s="712"/>
      <c r="R9" s="712"/>
      <c r="S9" s="712"/>
      <c r="T9" s="712"/>
      <c r="U9" s="713"/>
      <c r="V9" s="711"/>
      <c r="W9" s="712"/>
      <c r="X9" s="712"/>
      <c r="Y9" s="712"/>
      <c r="Z9" s="712"/>
      <c r="AA9" s="713"/>
      <c r="AB9" s="711"/>
      <c r="AC9" s="712"/>
      <c r="AD9" s="712"/>
      <c r="AE9" s="712"/>
      <c r="AF9" s="712"/>
      <c r="AG9" s="713"/>
      <c r="AH9" s="702"/>
      <c r="AI9" s="703"/>
      <c r="AJ9" s="703"/>
      <c r="AK9" s="703"/>
      <c r="AL9" s="703"/>
      <c r="AM9" s="704"/>
      <c r="AN9" s="77"/>
      <c r="AO9" s="736"/>
      <c r="AP9" s="737"/>
      <c r="AQ9" s="737"/>
      <c r="AR9" s="737"/>
      <c r="AS9" s="737"/>
      <c r="AT9" s="738"/>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row>
    <row r="10" spans="1:99" ht="15" customHeight="1" x14ac:dyDescent="0.25">
      <c r="A10" s="77"/>
      <c r="B10" s="731"/>
      <c r="C10" s="731"/>
      <c r="D10" s="732"/>
      <c r="E10" s="724"/>
      <c r="F10" s="725"/>
      <c r="G10" s="725"/>
      <c r="H10" s="725"/>
      <c r="I10" s="726"/>
      <c r="J10" s="711" t="e">
        <f>IF(AND('Mapa final'!#REF!="Muy Alta",'Mapa final'!#REF!="Leve"),CONCATENATE("R",'Mapa final'!#REF!),"")</f>
        <v>#REF!</v>
      </c>
      <c r="K10" s="712"/>
      <c r="L10" s="712" t="e">
        <f>IF(AND('Mapa final'!#REF!="Muy Alta",'Mapa final'!#REF!="Leve"),CONCATENATE("R",'Mapa final'!#REF!),"")</f>
        <v>#REF!</v>
      </c>
      <c r="M10" s="712"/>
      <c r="N10" s="712" t="e">
        <f>IF(AND('Mapa final'!#REF!="Muy Alta",'Mapa final'!#REF!="Leve"),CONCATENATE("R",'Mapa final'!#REF!),"")</f>
        <v>#REF!</v>
      </c>
      <c r="O10" s="713"/>
      <c r="P10" s="711" t="e">
        <f>IF(AND('Mapa final'!#REF!="Muy Alta",'Mapa final'!#REF!="Menor"),CONCATENATE("R",'Mapa final'!#REF!),"")</f>
        <v>#REF!</v>
      </c>
      <c r="Q10" s="712"/>
      <c r="R10" s="712" t="e">
        <f>IF(AND('Mapa final'!#REF!="Muy Alta",'Mapa final'!#REF!="Menor"),CONCATENATE("R",'Mapa final'!#REF!),"")</f>
        <v>#REF!</v>
      </c>
      <c r="S10" s="712"/>
      <c r="T10" s="712" t="e">
        <f>IF(AND('Mapa final'!#REF!="Muy Alta",'Mapa final'!#REF!="Menor"),CONCATENATE("R",'Mapa final'!#REF!),"")</f>
        <v>#REF!</v>
      </c>
      <c r="U10" s="713"/>
      <c r="V10" s="711" t="e">
        <f>IF(AND('Mapa final'!#REF!="Muy Alta",'Mapa final'!#REF!="Moderado"),CONCATENATE("R",'Mapa final'!#REF!),"")</f>
        <v>#REF!</v>
      </c>
      <c r="W10" s="712"/>
      <c r="X10" s="712" t="e">
        <f>IF(AND('Mapa final'!#REF!="Muy Alta",'Mapa final'!#REF!="Moderado"),CONCATENATE("R",'Mapa final'!#REF!),"")</f>
        <v>#REF!</v>
      </c>
      <c r="Y10" s="712"/>
      <c r="Z10" s="712" t="e">
        <f>IF(AND('Mapa final'!#REF!="Muy Alta",'Mapa final'!#REF!="Moderado"),CONCATENATE("R",'Mapa final'!#REF!),"")</f>
        <v>#REF!</v>
      </c>
      <c r="AA10" s="713"/>
      <c r="AB10" s="711" t="e">
        <f>IF(AND('Mapa final'!#REF!="Muy Alta",'Mapa final'!#REF!="Mayor"),CONCATENATE("R",'Mapa final'!#REF!),"")</f>
        <v>#REF!</v>
      </c>
      <c r="AC10" s="712"/>
      <c r="AD10" s="712" t="e">
        <f>IF(AND('Mapa final'!#REF!="Muy Alta",'Mapa final'!#REF!="Mayor"),CONCATENATE("R",'Mapa final'!#REF!),"")</f>
        <v>#REF!</v>
      </c>
      <c r="AE10" s="712"/>
      <c r="AF10" s="712" t="e">
        <f>IF(AND('Mapa final'!#REF!="Muy Alta",'Mapa final'!#REF!="Mayor"),CONCATENATE("R",'Mapa final'!#REF!),"")</f>
        <v>#REF!</v>
      </c>
      <c r="AG10" s="713"/>
      <c r="AH10" s="702" t="e">
        <f>IF(AND('Mapa final'!#REF!="Muy Alta",'Mapa final'!#REF!="Catastrófico"),CONCATENATE("R",'Mapa final'!#REF!),"")</f>
        <v>#REF!</v>
      </c>
      <c r="AI10" s="703"/>
      <c r="AJ10" s="703" t="e">
        <f>IF(AND('Mapa final'!#REF!="Muy Alta",'Mapa final'!#REF!="Catastrófico"),CONCATENATE("R",'Mapa final'!#REF!),"")</f>
        <v>#REF!</v>
      </c>
      <c r="AK10" s="703"/>
      <c r="AL10" s="703" t="e">
        <f>IF(AND('Mapa final'!#REF!="Muy Alta",'Mapa final'!#REF!="Catastrófico"),CONCATENATE("R",'Mapa final'!#REF!),"")</f>
        <v>#REF!</v>
      </c>
      <c r="AM10" s="704"/>
      <c r="AN10" s="77"/>
      <c r="AO10" s="736"/>
      <c r="AP10" s="737"/>
      <c r="AQ10" s="737"/>
      <c r="AR10" s="737"/>
      <c r="AS10" s="737"/>
      <c r="AT10" s="738"/>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row>
    <row r="11" spans="1:99" ht="15" customHeight="1" x14ac:dyDescent="0.25">
      <c r="A11" s="77"/>
      <c r="B11" s="731"/>
      <c r="C11" s="731"/>
      <c r="D11" s="732"/>
      <c r="E11" s="724"/>
      <c r="F11" s="725"/>
      <c r="G11" s="725"/>
      <c r="H11" s="725"/>
      <c r="I11" s="726"/>
      <c r="J11" s="711"/>
      <c r="K11" s="712"/>
      <c r="L11" s="712"/>
      <c r="M11" s="712"/>
      <c r="N11" s="712"/>
      <c r="O11" s="713"/>
      <c r="P11" s="711"/>
      <c r="Q11" s="712"/>
      <c r="R11" s="712"/>
      <c r="S11" s="712"/>
      <c r="T11" s="712"/>
      <c r="U11" s="713"/>
      <c r="V11" s="711"/>
      <c r="W11" s="712"/>
      <c r="X11" s="712"/>
      <c r="Y11" s="712"/>
      <c r="Z11" s="712"/>
      <c r="AA11" s="713"/>
      <c r="AB11" s="711"/>
      <c r="AC11" s="712"/>
      <c r="AD11" s="712"/>
      <c r="AE11" s="712"/>
      <c r="AF11" s="712"/>
      <c r="AG11" s="713"/>
      <c r="AH11" s="702"/>
      <c r="AI11" s="703"/>
      <c r="AJ11" s="703"/>
      <c r="AK11" s="703"/>
      <c r="AL11" s="703"/>
      <c r="AM11" s="704"/>
      <c r="AN11" s="77"/>
      <c r="AO11" s="736"/>
      <c r="AP11" s="737"/>
      <c r="AQ11" s="737"/>
      <c r="AR11" s="737"/>
      <c r="AS11" s="737"/>
      <c r="AT11" s="738"/>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row>
    <row r="12" spans="1:99" ht="15" customHeight="1" x14ac:dyDescent="0.25">
      <c r="A12" s="77"/>
      <c r="B12" s="731"/>
      <c r="C12" s="731"/>
      <c r="D12" s="732"/>
      <c r="E12" s="724"/>
      <c r="F12" s="725"/>
      <c r="G12" s="725"/>
      <c r="H12" s="725"/>
      <c r="I12" s="726"/>
      <c r="J12" s="711" t="e">
        <f>IF(AND('Mapa final'!#REF!="Muy Alta",'Mapa final'!#REF!="Leve"),CONCATENATE("R",'Mapa final'!#REF!),"")</f>
        <v>#REF!</v>
      </c>
      <c r="K12" s="712"/>
      <c r="L12" s="712" t="e">
        <f>IF(AND('Mapa final'!#REF!="Muy Alta",'Mapa final'!#REF!="Leve"),CONCATENATE("R",'Mapa final'!#REF!),"")</f>
        <v>#REF!</v>
      </c>
      <c r="M12" s="712"/>
      <c r="N12" s="712" t="e">
        <f>IF(AND('Mapa final'!#REF!="Muy Alta",'Mapa final'!#REF!="Leve"),CONCATENATE("R",'Mapa final'!#REF!),"")</f>
        <v>#REF!</v>
      </c>
      <c r="O12" s="713"/>
      <c r="P12" s="711" t="e">
        <f>IF(AND('Mapa final'!#REF!="Muy Alta",'Mapa final'!#REF!="Menor"),CONCATENATE("R",'Mapa final'!#REF!),"")</f>
        <v>#REF!</v>
      </c>
      <c r="Q12" s="712"/>
      <c r="R12" s="712" t="e">
        <f>IF(AND('Mapa final'!#REF!="Muy Alta",'Mapa final'!#REF!="Menor"),CONCATENATE("R",'Mapa final'!#REF!),"")</f>
        <v>#REF!</v>
      </c>
      <c r="S12" s="712"/>
      <c r="T12" s="712" t="e">
        <f>IF(AND('Mapa final'!#REF!="Muy Alta",'Mapa final'!#REF!="Menor"),CONCATENATE("R",'Mapa final'!#REF!),"")</f>
        <v>#REF!</v>
      </c>
      <c r="U12" s="713"/>
      <c r="V12" s="711" t="e">
        <f>IF(AND('Mapa final'!#REF!="Muy Alta",'Mapa final'!#REF!="Moderado"),CONCATENATE("R",'Mapa final'!#REF!),"")</f>
        <v>#REF!</v>
      </c>
      <c r="W12" s="712"/>
      <c r="X12" s="712" t="e">
        <f>IF(AND('Mapa final'!#REF!="Muy Alta",'Mapa final'!#REF!="Moderado"),CONCATENATE("R",'Mapa final'!#REF!),"")</f>
        <v>#REF!</v>
      </c>
      <c r="Y12" s="712"/>
      <c r="Z12" s="712" t="e">
        <f>IF(AND('Mapa final'!#REF!="Muy Alta",'Mapa final'!#REF!="Moderado"),CONCATENATE("R",'Mapa final'!#REF!),"")</f>
        <v>#REF!</v>
      </c>
      <c r="AA12" s="713"/>
      <c r="AB12" s="711" t="e">
        <f>IF(AND('Mapa final'!#REF!="Muy Alta",'Mapa final'!#REF!="Mayor"),CONCATENATE("R",'Mapa final'!#REF!),"")</f>
        <v>#REF!</v>
      </c>
      <c r="AC12" s="712"/>
      <c r="AD12" s="712" t="e">
        <f>IF(AND('Mapa final'!#REF!="Muy Alta",'Mapa final'!#REF!="Mayor"),CONCATENATE("R",'Mapa final'!#REF!),"")</f>
        <v>#REF!</v>
      </c>
      <c r="AE12" s="712"/>
      <c r="AF12" s="712" t="e">
        <f>IF(AND('Mapa final'!#REF!="Muy Alta",'Mapa final'!#REF!="Mayor"),CONCATENATE("R",'Mapa final'!#REF!),"")</f>
        <v>#REF!</v>
      </c>
      <c r="AG12" s="713"/>
      <c r="AH12" s="702" t="s">
        <v>537</v>
      </c>
      <c r="AI12" s="703"/>
      <c r="AJ12" s="703" t="e">
        <f>IF(AND('Mapa final'!#REF!="Muy Alta",'Mapa final'!#REF!="Catastrófico"),CONCATENATE("R",'Mapa final'!#REF!),"")</f>
        <v>#REF!</v>
      </c>
      <c r="AK12" s="703"/>
      <c r="AL12" s="703" t="e">
        <f>IF(AND('Mapa final'!#REF!="Muy Alta",'Mapa final'!#REF!="Catastrófico"),CONCATENATE("R",'Mapa final'!#REF!),"")</f>
        <v>#REF!</v>
      </c>
      <c r="AM12" s="704"/>
      <c r="AN12" s="77"/>
      <c r="AO12" s="736"/>
      <c r="AP12" s="737"/>
      <c r="AQ12" s="737"/>
      <c r="AR12" s="737"/>
      <c r="AS12" s="737"/>
      <c r="AT12" s="738"/>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row>
    <row r="13" spans="1:99" ht="15.75" customHeight="1" thickBot="1" x14ac:dyDescent="0.3">
      <c r="A13" s="77"/>
      <c r="B13" s="731"/>
      <c r="C13" s="731"/>
      <c r="D13" s="732"/>
      <c r="E13" s="727"/>
      <c r="F13" s="728"/>
      <c r="G13" s="728"/>
      <c r="H13" s="728"/>
      <c r="I13" s="729"/>
      <c r="J13" s="711"/>
      <c r="K13" s="712"/>
      <c r="L13" s="712"/>
      <c r="M13" s="712"/>
      <c r="N13" s="712"/>
      <c r="O13" s="713"/>
      <c r="P13" s="711"/>
      <c r="Q13" s="712"/>
      <c r="R13" s="712"/>
      <c r="S13" s="712"/>
      <c r="T13" s="712"/>
      <c r="U13" s="713"/>
      <c r="V13" s="711"/>
      <c r="W13" s="712"/>
      <c r="X13" s="712"/>
      <c r="Y13" s="712"/>
      <c r="Z13" s="712"/>
      <c r="AA13" s="713"/>
      <c r="AB13" s="711"/>
      <c r="AC13" s="712"/>
      <c r="AD13" s="712"/>
      <c r="AE13" s="712"/>
      <c r="AF13" s="712"/>
      <c r="AG13" s="713"/>
      <c r="AH13" s="705"/>
      <c r="AI13" s="706"/>
      <c r="AJ13" s="706"/>
      <c r="AK13" s="706"/>
      <c r="AL13" s="706"/>
      <c r="AM13" s="707"/>
      <c r="AN13" s="77"/>
      <c r="AO13" s="739"/>
      <c r="AP13" s="740"/>
      <c r="AQ13" s="740"/>
      <c r="AR13" s="740"/>
      <c r="AS13" s="740"/>
      <c r="AT13" s="741"/>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row>
    <row r="14" spans="1:99" ht="15" customHeight="1" x14ac:dyDescent="0.25">
      <c r="A14" s="77"/>
      <c r="B14" s="731"/>
      <c r="C14" s="731"/>
      <c r="D14" s="732"/>
      <c r="E14" s="721" t="s">
        <v>538</v>
      </c>
      <c r="F14" s="722"/>
      <c r="G14" s="722"/>
      <c r="H14" s="722"/>
      <c r="I14" s="722"/>
      <c r="J14" s="699" t="e">
        <f>IF(AND('Mapa final'!#REF!="Alta",'Mapa final'!#REF!="Leve"),CONCATENATE("R",'Mapa final'!#REF!),"")</f>
        <v>#REF!</v>
      </c>
      <c r="K14" s="700"/>
      <c r="L14" s="700" t="e">
        <f>IF(AND('Mapa final'!#REF!="Alta",'Mapa final'!#REF!="Leve"),CONCATENATE("R",'Mapa final'!#REF!),"")</f>
        <v>#REF!</v>
      </c>
      <c r="M14" s="700"/>
      <c r="N14" s="700" t="str">
        <f>IF(AND('Mapa final'!$P$18="Alta",'Mapa final'!$T$18="Leve"),CONCATENATE("R",'Mapa final'!$A$18),"")</f>
        <v/>
      </c>
      <c r="O14" s="701"/>
      <c r="P14" s="699" t="e">
        <f>IF(AND('Mapa final'!#REF!="Alta",'Mapa final'!#REF!="Menor"),CONCATENATE("R",'Mapa final'!#REF!),"")</f>
        <v>#REF!</v>
      </c>
      <c r="Q14" s="700"/>
      <c r="R14" s="700" t="e">
        <f>IF(AND('Mapa final'!#REF!="Alta",'Mapa final'!#REF!="Menor"),CONCATENATE("R",'Mapa final'!#REF!),"")</f>
        <v>#REF!</v>
      </c>
      <c r="S14" s="700"/>
      <c r="T14" s="700" t="str">
        <f>IF(AND('Mapa final'!$P$18="Alta",'Mapa final'!$T$18="Menor"),CONCATENATE("R",'Mapa final'!$A$18),"")</f>
        <v/>
      </c>
      <c r="U14" s="701"/>
      <c r="V14" s="717" t="e">
        <f>IF(AND('Mapa final'!#REF!="Alta",'Mapa final'!#REF!="Moderado"),CONCATENATE("R",'Mapa final'!#REF!),"")</f>
        <v>#REF!</v>
      </c>
      <c r="W14" s="718"/>
      <c r="X14" s="718" t="e">
        <f>IF(AND('Mapa final'!#REF!="Alta",'Mapa final'!#REF!="Moderado"),CONCATENATE("R",'Mapa final'!#REF!),"")</f>
        <v>#REF!</v>
      </c>
      <c r="Y14" s="718"/>
      <c r="Z14" s="718" t="str">
        <f>IF(AND('Mapa final'!$P$18="Alta",'Mapa final'!$T$18="Moderado"),CONCATENATE("R",'Mapa final'!$A$18),"")</f>
        <v/>
      </c>
      <c r="AA14" s="719"/>
      <c r="AB14" s="717" t="e">
        <f>IF(AND('Mapa final'!#REF!="Alta",'Mapa final'!#REF!="Mayor"),CONCATENATE("R",'Mapa final'!#REF!),"")</f>
        <v>#REF!</v>
      </c>
      <c r="AC14" s="718"/>
      <c r="AD14" s="718" t="e">
        <f>IF(AND('Mapa final'!#REF!="Alta",'Mapa final'!#REF!="Mayor"),CONCATENATE("R",'Mapa final'!#REF!),"")</f>
        <v>#REF!</v>
      </c>
      <c r="AE14" s="718"/>
      <c r="AF14" s="718" t="str">
        <f>IF(AND('Mapa final'!$P$18="Alta",'Mapa final'!$T$18="Mayor"),CONCATENATE("R",'Mapa final'!$A$18),"")</f>
        <v/>
      </c>
      <c r="AG14" s="719"/>
      <c r="AH14" s="708" t="e">
        <f>IF(AND('Mapa final'!#REF!="Alta",'Mapa final'!#REF!="Catastrófico"),CONCATENATE("R",'Mapa final'!#REF!),"")</f>
        <v>#REF!</v>
      </c>
      <c r="AI14" s="709"/>
      <c r="AJ14" s="709" t="e">
        <f>IF(AND('Mapa final'!#REF!="Alta",'Mapa final'!#REF!="Catastrófico"),CONCATENATE("R",'Mapa final'!#REF!),"")</f>
        <v>#REF!</v>
      </c>
      <c r="AK14" s="709"/>
      <c r="AL14" s="709" t="str">
        <f>IF(AND('Mapa final'!$P$18="Alta",'Mapa final'!$T$18="Catastrófico"),CONCATENATE("R",'Mapa final'!$A$18),"")</f>
        <v/>
      </c>
      <c r="AM14" s="710"/>
      <c r="AN14" s="77"/>
      <c r="AO14" s="742" t="s">
        <v>482</v>
      </c>
      <c r="AP14" s="743"/>
      <c r="AQ14" s="743"/>
      <c r="AR14" s="743"/>
      <c r="AS14" s="743"/>
      <c r="AT14" s="744"/>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row>
    <row r="15" spans="1:99" ht="15" customHeight="1" x14ac:dyDescent="0.25">
      <c r="A15" s="77"/>
      <c r="B15" s="731"/>
      <c r="C15" s="731"/>
      <c r="D15" s="732"/>
      <c r="E15" s="724"/>
      <c r="F15" s="725"/>
      <c r="G15" s="725"/>
      <c r="H15" s="725"/>
      <c r="I15" s="725"/>
      <c r="J15" s="693"/>
      <c r="K15" s="694"/>
      <c r="L15" s="694"/>
      <c r="M15" s="694"/>
      <c r="N15" s="694"/>
      <c r="O15" s="695"/>
      <c r="P15" s="693"/>
      <c r="Q15" s="694"/>
      <c r="R15" s="694"/>
      <c r="S15" s="694"/>
      <c r="T15" s="694"/>
      <c r="U15" s="695"/>
      <c r="V15" s="711"/>
      <c r="W15" s="712"/>
      <c r="X15" s="712"/>
      <c r="Y15" s="712"/>
      <c r="Z15" s="712"/>
      <c r="AA15" s="713"/>
      <c r="AB15" s="711"/>
      <c r="AC15" s="712"/>
      <c r="AD15" s="712"/>
      <c r="AE15" s="712"/>
      <c r="AF15" s="712"/>
      <c r="AG15" s="713"/>
      <c r="AH15" s="702"/>
      <c r="AI15" s="703"/>
      <c r="AJ15" s="703"/>
      <c r="AK15" s="703"/>
      <c r="AL15" s="703"/>
      <c r="AM15" s="704"/>
      <c r="AN15" s="77"/>
      <c r="AO15" s="745"/>
      <c r="AP15" s="746"/>
      <c r="AQ15" s="746"/>
      <c r="AR15" s="746"/>
      <c r="AS15" s="746"/>
      <c r="AT15" s="74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row>
    <row r="16" spans="1:99" ht="15" customHeight="1" x14ac:dyDescent="0.25">
      <c r="A16" s="77"/>
      <c r="B16" s="731"/>
      <c r="C16" s="731"/>
      <c r="D16" s="732"/>
      <c r="E16" s="724"/>
      <c r="F16" s="725"/>
      <c r="G16" s="725"/>
      <c r="H16" s="725"/>
      <c r="I16" s="725"/>
      <c r="J16" s="693" t="e">
        <f>IF(AND('Mapa final'!#REF!="Alta",'Mapa final'!#REF!="Leve"),CONCATENATE("R",'Mapa final'!#REF!),"")</f>
        <v>#REF!</v>
      </c>
      <c r="K16" s="694"/>
      <c r="L16" s="694" t="e">
        <f>IF(AND('Mapa final'!#REF!="Alta",'Mapa final'!#REF!="Leve"),CONCATENATE("R",'Mapa final'!#REF!),"")</f>
        <v>#REF!</v>
      </c>
      <c r="M16" s="694"/>
      <c r="N16" s="694" t="str">
        <f>IF(AND('Mapa final'!$P$31="Alta",'Mapa final'!$T$31="Leve"),CONCATENATE("R",'Mapa final'!$A$31),"")</f>
        <v/>
      </c>
      <c r="O16" s="695"/>
      <c r="P16" s="693" t="e">
        <f>IF(AND('Mapa final'!#REF!="Alta",'Mapa final'!#REF!="Menor"),CONCATENATE("R",'Mapa final'!#REF!),"")</f>
        <v>#REF!</v>
      </c>
      <c r="Q16" s="694"/>
      <c r="R16" s="694" t="e">
        <f>IF(AND('Mapa final'!#REF!="Alta",'Mapa final'!#REF!="Menor"),CONCATENATE("R",'Mapa final'!#REF!),"")</f>
        <v>#REF!</v>
      </c>
      <c r="S16" s="694"/>
      <c r="T16" s="694" t="str">
        <f>IF(AND('Mapa final'!$P$31="Alta",'Mapa final'!$T$31="Menor"),CONCATENATE("R",'Mapa final'!$A$31),"")</f>
        <v/>
      </c>
      <c r="U16" s="695"/>
      <c r="V16" s="711" t="e">
        <f>IF(AND('Mapa final'!#REF!="Alta",'Mapa final'!#REF!="Moderado"),CONCATENATE("R",'Mapa final'!#REF!),"")</f>
        <v>#REF!</v>
      </c>
      <c r="W16" s="712"/>
      <c r="X16" s="712" t="e">
        <f>IF(AND('Mapa final'!#REF!="Alta",'Mapa final'!#REF!="Moderado"),CONCATENATE("R",'Mapa final'!#REF!),"")</f>
        <v>#REF!</v>
      </c>
      <c r="Y16" s="712"/>
      <c r="Z16" s="712" t="str">
        <f>IF(AND('Mapa final'!$P$31="Alta",'Mapa final'!$T$31="Moderado"),CONCATENATE("R",'Mapa final'!$A$31),"")</f>
        <v/>
      </c>
      <c r="AA16" s="713"/>
      <c r="AB16" s="711" t="e">
        <f>IF(AND('Mapa final'!#REF!="Alta",'Mapa final'!#REF!="Mayor"),CONCATENATE("R",'Mapa final'!#REF!),"")</f>
        <v>#REF!</v>
      </c>
      <c r="AC16" s="712"/>
      <c r="AD16" s="712" t="e">
        <f>IF(AND('Mapa final'!#REF!="Alta",'Mapa final'!#REF!="Mayor"),CONCATENATE("R",'Mapa final'!#REF!),"")</f>
        <v>#REF!</v>
      </c>
      <c r="AE16" s="712"/>
      <c r="AF16" s="712" t="str">
        <f>IF(AND('Mapa final'!$P$31="Alta",'Mapa final'!$T$31="Mayor"),CONCATENATE("R",'Mapa final'!$A$31),"")</f>
        <v/>
      </c>
      <c r="AG16" s="713"/>
      <c r="AH16" s="702" t="e">
        <f>IF(AND('Mapa final'!#REF!="Alta",'Mapa final'!#REF!="Catastrófico"),CONCATENATE("R",'Mapa final'!#REF!),"")</f>
        <v>#REF!</v>
      </c>
      <c r="AI16" s="703"/>
      <c r="AJ16" s="703" t="e">
        <f>IF(AND('Mapa final'!#REF!="Alta",'Mapa final'!#REF!="Catastrófico"),CONCATENATE("R",'Mapa final'!#REF!),"")</f>
        <v>#REF!</v>
      </c>
      <c r="AK16" s="703"/>
      <c r="AL16" s="703" t="str">
        <f>IF(AND('Mapa final'!$P$31="Alta",'Mapa final'!$T$31="Catastrófico"),CONCATENATE("R",'Mapa final'!$A$31),"")</f>
        <v/>
      </c>
      <c r="AM16" s="704"/>
      <c r="AN16" s="77"/>
      <c r="AO16" s="745"/>
      <c r="AP16" s="746"/>
      <c r="AQ16" s="746"/>
      <c r="AR16" s="746"/>
      <c r="AS16" s="746"/>
      <c r="AT16" s="74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row>
    <row r="17" spans="1:80" ht="15" customHeight="1" x14ac:dyDescent="0.25">
      <c r="A17" s="77"/>
      <c r="B17" s="731"/>
      <c r="C17" s="731"/>
      <c r="D17" s="732"/>
      <c r="E17" s="724"/>
      <c r="F17" s="725"/>
      <c r="G17" s="725"/>
      <c r="H17" s="725"/>
      <c r="I17" s="725"/>
      <c r="J17" s="693"/>
      <c r="K17" s="694"/>
      <c r="L17" s="694"/>
      <c r="M17" s="694"/>
      <c r="N17" s="694"/>
      <c r="O17" s="695"/>
      <c r="P17" s="693"/>
      <c r="Q17" s="694"/>
      <c r="R17" s="694"/>
      <c r="S17" s="694"/>
      <c r="T17" s="694"/>
      <c r="U17" s="695"/>
      <c r="V17" s="711"/>
      <c r="W17" s="712"/>
      <c r="X17" s="712"/>
      <c r="Y17" s="712"/>
      <c r="Z17" s="712"/>
      <c r="AA17" s="713"/>
      <c r="AB17" s="711"/>
      <c r="AC17" s="712"/>
      <c r="AD17" s="712"/>
      <c r="AE17" s="712"/>
      <c r="AF17" s="712"/>
      <c r="AG17" s="713"/>
      <c r="AH17" s="702"/>
      <c r="AI17" s="703"/>
      <c r="AJ17" s="703"/>
      <c r="AK17" s="703"/>
      <c r="AL17" s="703"/>
      <c r="AM17" s="704"/>
      <c r="AN17" s="77"/>
      <c r="AO17" s="745"/>
      <c r="AP17" s="746"/>
      <c r="AQ17" s="746"/>
      <c r="AR17" s="746"/>
      <c r="AS17" s="746"/>
      <c r="AT17" s="74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row>
    <row r="18" spans="1:80" ht="15" customHeight="1" x14ac:dyDescent="0.25">
      <c r="A18" s="77"/>
      <c r="B18" s="731"/>
      <c r="C18" s="731"/>
      <c r="D18" s="732"/>
      <c r="E18" s="724"/>
      <c r="F18" s="725"/>
      <c r="G18" s="725"/>
      <c r="H18" s="725"/>
      <c r="I18" s="725"/>
      <c r="J18" s="693" t="e">
        <f>IF(AND('Mapa final'!#REF!="Alta",'Mapa final'!#REF!="Leve"),CONCATENATE("R",'Mapa final'!#REF!),"")</f>
        <v>#REF!</v>
      </c>
      <c r="K18" s="694"/>
      <c r="L18" s="694" t="e">
        <f>IF(AND('Mapa final'!#REF!="Alta",'Mapa final'!#REF!="Leve"),CONCATENATE("R",'Mapa final'!#REF!),"")</f>
        <v>#REF!</v>
      </c>
      <c r="M18" s="694"/>
      <c r="N18" s="694" t="e">
        <f>IF(AND('Mapa final'!#REF!="Alta",'Mapa final'!#REF!="Leve"),CONCATENATE("R",'Mapa final'!#REF!),"")</f>
        <v>#REF!</v>
      </c>
      <c r="O18" s="695"/>
      <c r="P18" s="693" t="e">
        <f>IF(AND('Mapa final'!#REF!="Alta",'Mapa final'!#REF!="Menor"),CONCATENATE("R",'Mapa final'!#REF!),"")</f>
        <v>#REF!</v>
      </c>
      <c r="Q18" s="694"/>
      <c r="R18" s="694" t="e">
        <f>IF(AND('Mapa final'!#REF!="Alta",'Mapa final'!#REF!="Menor"),CONCATENATE("R",'Mapa final'!#REF!),"")</f>
        <v>#REF!</v>
      </c>
      <c r="S18" s="694"/>
      <c r="T18" s="694" t="e">
        <f>IF(AND('Mapa final'!#REF!="Alta",'Mapa final'!#REF!="Menor"),CONCATENATE("R",'Mapa final'!#REF!),"")</f>
        <v>#REF!</v>
      </c>
      <c r="U18" s="695"/>
      <c r="V18" s="711" t="e">
        <f>IF(AND('Mapa final'!#REF!="Alta",'Mapa final'!#REF!="Moderado"),CONCATENATE("R",'Mapa final'!#REF!),"")</f>
        <v>#REF!</v>
      </c>
      <c r="W18" s="712"/>
      <c r="X18" s="712" t="e">
        <f>IF(AND('Mapa final'!#REF!="Alta",'Mapa final'!#REF!="Moderado"),CONCATENATE("R",'Mapa final'!#REF!),"")</f>
        <v>#REF!</v>
      </c>
      <c r="Y18" s="712"/>
      <c r="Z18" s="712" t="e">
        <f>IF(AND('Mapa final'!#REF!="Alta",'Mapa final'!#REF!="Moderado"),CONCATENATE("R",'Mapa final'!#REF!),"")</f>
        <v>#REF!</v>
      </c>
      <c r="AA18" s="713"/>
      <c r="AB18" s="711" t="e">
        <f>IF(AND('Mapa final'!#REF!="Alta",'Mapa final'!#REF!="Mayor"),CONCATENATE("R",'Mapa final'!#REF!),"")</f>
        <v>#REF!</v>
      </c>
      <c r="AC18" s="712"/>
      <c r="AD18" s="712" t="e">
        <f>IF(AND('Mapa final'!#REF!="Alta",'Mapa final'!#REF!="Mayor"),CONCATENATE("R",'Mapa final'!#REF!),"")</f>
        <v>#REF!</v>
      </c>
      <c r="AE18" s="712"/>
      <c r="AF18" s="712" t="e">
        <f>IF(AND('Mapa final'!#REF!="Alta",'Mapa final'!#REF!="Mayor"),CONCATENATE("R",'Mapa final'!#REF!),"")</f>
        <v>#REF!</v>
      </c>
      <c r="AG18" s="713"/>
      <c r="AH18" s="702" t="e">
        <f>IF(AND('Mapa final'!#REF!="Alta",'Mapa final'!#REF!="Catastrófico"),CONCATENATE("R",'Mapa final'!#REF!),"")</f>
        <v>#REF!</v>
      </c>
      <c r="AI18" s="703"/>
      <c r="AJ18" s="703" t="e">
        <f>IF(AND('Mapa final'!#REF!="Alta",'Mapa final'!#REF!="Catastrófico"),CONCATENATE("R",'Mapa final'!#REF!),"")</f>
        <v>#REF!</v>
      </c>
      <c r="AK18" s="703"/>
      <c r="AL18" s="703" t="e">
        <f>IF(AND('Mapa final'!#REF!="Alta",'Mapa final'!#REF!="Catastrófico"),CONCATENATE("R",'Mapa final'!#REF!),"")</f>
        <v>#REF!</v>
      </c>
      <c r="AM18" s="704"/>
      <c r="AN18" s="77"/>
      <c r="AO18" s="745"/>
      <c r="AP18" s="746"/>
      <c r="AQ18" s="746"/>
      <c r="AR18" s="746"/>
      <c r="AS18" s="746"/>
      <c r="AT18" s="74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row>
    <row r="19" spans="1:80" ht="15" customHeight="1" x14ac:dyDescent="0.25">
      <c r="A19" s="77"/>
      <c r="B19" s="731"/>
      <c r="C19" s="731"/>
      <c r="D19" s="732"/>
      <c r="E19" s="724"/>
      <c r="F19" s="725"/>
      <c r="G19" s="725"/>
      <c r="H19" s="725"/>
      <c r="I19" s="725"/>
      <c r="J19" s="693"/>
      <c r="K19" s="694"/>
      <c r="L19" s="694"/>
      <c r="M19" s="694"/>
      <c r="N19" s="694"/>
      <c r="O19" s="695"/>
      <c r="P19" s="693"/>
      <c r="Q19" s="694"/>
      <c r="R19" s="694"/>
      <c r="S19" s="694"/>
      <c r="T19" s="694"/>
      <c r="U19" s="695"/>
      <c r="V19" s="711"/>
      <c r="W19" s="712"/>
      <c r="X19" s="712"/>
      <c r="Y19" s="712"/>
      <c r="Z19" s="712"/>
      <c r="AA19" s="713"/>
      <c r="AB19" s="711"/>
      <c r="AC19" s="712"/>
      <c r="AD19" s="712"/>
      <c r="AE19" s="712"/>
      <c r="AF19" s="712"/>
      <c r="AG19" s="713"/>
      <c r="AH19" s="702"/>
      <c r="AI19" s="703"/>
      <c r="AJ19" s="703"/>
      <c r="AK19" s="703"/>
      <c r="AL19" s="703"/>
      <c r="AM19" s="704"/>
      <c r="AN19" s="77"/>
      <c r="AO19" s="745"/>
      <c r="AP19" s="746"/>
      <c r="AQ19" s="746"/>
      <c r="AR19" s="746"/>
      <c r="AS19" s="746"/>
      <c r="AT19" s="74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row>
    <row r="20" spans="1:80" ht="15" customHeight="1" x14ac:dyDescent="0.25">
      <c r="A20" s="77"/>
      <c r="B20" s="731"/>
      <c r="C20" s="731"/>
      <c r="D20" s="732"/>
      <c r="E20" s="724"/>
      <c r="F20" s="725"/>
      <c r="G20" s="725"/>
      <c r="H20" s="725"/>
      <c r="I20" s="725"/>
      <c r="J20" s="693" t="e">
        <f>IF(AND('Mapa final'!#REF!="Alta",'Mapa final'!#REF!="Leve"),CONCATENATE("R",'Mapa final'!#REF!),"")</f>
        <v>#REF!</v>
      </c>
      <c r="K20" s="694"/>
      <c r="L20" s="694" t="e">
        <f>IF(AND('Mapa final'!#REF!="Alta",'Mapa final'!#REF!="Leve"),CONCATENATE("R",'Mapa final'!#REF!),"")</f>
        <v>#REF!</v>
      </c>
      <c r="M20" s="694"/>
      <c r="N20" s="694" t="e">
        <f>IF(AND('Mapa final'!#REF!="Alta",'Mapa final'!#REF!="Leve"),CONCATENATE("R",'Mapa final'!#REF!),"")</f>
        <v>#REF!</v>
      </c>
      <c r="O20" s="695"/>
      <c r="P20" s="693" t="e">
        <f>IF(AND('Mapa final'!#REF!="Alta",'Mapa final'!#REF!="Menor"),CONCATENATE("R",'Mapa final'!#REF!),"")</f>
        <v>#REF!</v>
      </c>
      <c r="Q20" s="694"/>
      <c r="R20" s="694" t="e">
        <f>IF(AND('Mapa final'!#REF!="Alta",'Mapa final'!#REF!="Menor"),CONCATENATE("R",'Mapa final'!#REF!),"")</f>
        <v>#REF!</v>
      </c>
      <c r="S20" s="694"/>
      <c r="T20" s="694" t="e">
        <f>IF(AND('Mapa final'!#REF!="Alta",'Mapa final'!#REF!="Menor"),CONCATENATE("R",'Mapa final'!#REF!),"")</f>
        <v>#REF!</v>
      </c>
      <c r="U20" s="695"/>
      <c r="V20" s="711" t="e">
        <f>IF(AND('Mapa final'!#REF!="Alta",'Mapa final'!#REF!="Moderado"),CONCATENATE("R",'Mapa final'!#REF!),"")</f>
        <v>#REF!</v>
      </c>
      <c r="W20" s="712"/>
      <c r="X20" s="712" t="e">
        <f>IF(AND('Mapa final'!#REF!="Alta",'Mapa final'!#REF!="Moderado"),CONCATENATE("R",'Mapa final'!#REF!),"")</f>
        <v>#REF!</v>
      </c>
      <c r="Y20" s="712"/>
      <c r="Z20" s="712" t="e">
        <f>IF(AND('Mapa final'!#REF!="Alta",'Mapa final'!#REF!="Moderado"),CONCATENATE("R",'Mapa final'!#REF!),"")</f>
        <v>#REF!</v>
      </c>
      <c r="AA20" s="713"/>
      <c r="AB20" s="711" t="e">
        <f>IF(AND('Mapa final'!#REF!="Alta",'Mapa final'!#REF!="Mayor"),CONCATENATE("R",'Mapa final'!#REF!),"")</f>
        <v>#REF!</v>
      </c>
      <c r="AC20" s="712"/>
      <c r="AD20" s="712" t="e">
        <f>IF(AND('Mapa final'!#REF!="Alta",'Mapa final'!#REF!="Mayor"),CONCATENATE("R",'Mapa final'!#REF!),"")</f>
        <v>#REF!</v>
      </c>
      <c r="AE20" s="712"/>
      <c r="AF20" s="712" t="e">
        <f>IF(AND('Mapa final'!#REF!="Alta",'Mapa final'!#REF!="Mayor"),CONCATENATE("R",'Mapa final'!#REF!),"")</f>
        <v>#REF!</v>
      </c>
      <c r="AG20" s="713"/>
      <c r="AH20" s="702" t="e">
        <f>IF(AND('Mapa final'!#REF!="Alta",'Mapa final'!#REF!="Catastrófico"),CONCATENATE("R",'Mapa final'!#REF!),"")</f>
        <v>#REF!</v>
      </c>
      <c r="AI20" s="703"/>
      <c r="AJ20" s="703" t="e">
        <f>IF(AND('Mapa final'!#REF!="Alta",'Mapa final'!#REF!="Catastrófico"),CONCATENATE("R",'Mapa final'!#REF!),"")</f>
        <v>#REF!</v>
      </c>
      <c r="AK20" s="703"/>
      <c r="AL20" s="703" t="e">
        <f>IF(AND('Mapa final'!#REF!="Alta",'Mapa final'!#REF!="Catastrófico"),CONCATENATE("R",'Mapa final'!#REF!),"")</f>
        <v>#REF!</v>
      </c>
      <c r="AM20" s="704"/>
      <c r="AN20" s="77"/>
      <c r="AO20" s="745"/>
      <c r="AP20" s="746"/>
      <c r="AQ20" s="746"/>
      <c r="AR20" s="746"/>
      <c r="AS20" s="746"/>
      <c r="AT20" s="74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row>
    <row r="21" spans="1:80" ht="15.75" customHeight="1" thickBot="1" x14ac:dyDescent="0.3">
      <c r="A21" s="77"/>
      <c r="B21" s="731"/>
      <c r="C21" s="731"/>
      <c r="D21" s="732"/>
      <c r="E21" s="727"/>
      <c r="F21" s="728"/>
      <c r="G21" s="728"/>
      <c r="H21" s="728"/>
      <c r="I21" s="728"/>
      <c r="J21" s="696"/>
      <c r="K21" s="697"/>
      <c r="L21" s="697"/>
      <c r="M21" s="697"/>
      <c r="N21" s="697"/>
      <c r="O21" s="698"/>
      <c r="P21" s="696"/>
      <c r="Q21" s="697"/>
      <c r="R21" s="697"/>
      <c r="S21" s="697"/>
      <c r="T21" s="697"/>
      <c r="U21" s="698"/>
      <c r="V21" s="714"/>
      <c r="W21" s="715"/>
      <c r="X21" s="715"/>
      <c r="Y21" s="715"/>
      <c r="Z21" s="715"/>
      <c r="AA21" s="716"/>
      <c r="AB21" s="714"/>
      <c r="AC21" s="715"/>
      <c r="AD21" s="715"/>
      <c r="AE21" s="715"/>
      <c r="AF21" s="715"/>
      <c r="AG21" s="716"/>
      <c r="AH21" s="705"/>
      <c r="AI21" s="706"/>
      <c r="AJ21" s="706"/>
      <c r="AK21" s="706"/>
      <c r="AL21" s="706"/>
      <c r="AM21" s="707"/>
      <c r="AN21" s="77"/>
      <c r="AO21" s="748"/>
      <c r="AP21" s="749"/>
      <c r="AQ21" s="749"/>
      <c r="AR21" s="749"/>
      <c r="AS21" s="749"/>
      <c r="AT21" s="750"/>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row>
    <row r="22" spans="1:80" x14ac:dyDescent="0.25">
      <c r="A22" s="77"/>
      <c r="B22" s="731"/>
      <c r="C22" s="731"/>
      <c r="D22" s="732"/>
      <c r="E22" s="721" t="s">
        <v>539</v>
      </c>
      <c r="F22" s="722"/>
      <c r="G22" s="722"/>
      <c r="H22" s="722"/>
      <c r="I22" s="723"/>
      <c r="J22" s="699" t="e">
        <f>IF(AND('Mapa final'!#REF!="Media",'Mapa final'!#REF!="Leve"),CONCATENATE("R",'Mapa final'!#REF!),"")</f>
        <v>#REF!</v>
      </c>
      <c r="K22" s="700"/>
      <c r="L22" s="700" t="e">
        <f>IF(AND('Mapa final'!#REF!="Media",'Mapa final'!#REF!="Leve"),CONCATENATE("R",'Mapa final'!#REF!),"")</f>
        <v>#REF!</v>
      </c>
      <c r="M22" s="700"/>
      <c r="N22" s="700" t="str">
        <f>IF(AND('Mapa final'!$P$18="Media",'Mapa final'!$T$18="Leve"),CONCATENATE("R",'Mapa final'!$A$18),"")</f>
        <v/>
      </c>
      <c r="O22" s="701"/>
      <c r="P22" s="699" t="e">
        <f>IF(AND('Mapa final'!#REF!="Media",'Mapa final'!#REF!="Menor"),CONCATENATE("R",'Mapa final'!#REF!),"")</f>
        <v>#REF!</v>
      </c>
      <c r="Q22" s="700"/>
      <c r="R22" s="700" t="e">
        <f>IF(AND('Mapa final'!#REF!="Media",'Mapa final'!#REF!="Menor"),CONCATENATE("R",'Mapa final'!#REF!),"")</f>
        <v>#REF!</v>
      </c>
      <c r="S22" s="700"/>
      <c r="T22" s="700" t="str">
        <f>IF(AND('Mapa final'!$P$18="Media",'Mapa final'!$T$18="Menor"),CONCATENATE("R",'Mapa final'!$A$18),"")</f>
        <v/>
      </c>
      <c r="U22" s="701"/>
      <c r="V22" s="699" t="e">
        <f>IF(AND('Mapa final'!#REF!="Media",'Mapa final'!#REF!="Moderado"),CONCATENATE("R",'Mapa final'!#REF!),"")</f>
        <v>#REF!</v>
      </c>
      <c r="W22" s="700"/>
      <c r="X22" s="700" t="e">
        <f>IF(AND('Mapa final'!#REF!="Media",'Mapa final'!#REF!="Moderado"),CONCATENATE("R",'Mapa final'!#REF!),"")</f>
        <v>#REF!</v>
      </c>
      <c r="Y22" s="700"/>
      <c r="Z22" s="700" t="str">
        <f>IF(AND('Mapa final'!$P$18="Media",'Mapa final'!$T$18="Moderado"),CONCATENATE("R",'Mapa final'!$A$18),"")</f>
        <v>R</v>
      </c>
      <c r="AA22" s="701"/>
      <c r="AB22" s="717" t="e">
        <f>IF(AND('Mapa final'!#REF!="Media",'Mapa final'!#REF!="Mayor"),CONCATENATE("R",'Mapa final'!#REF!),"")</f>
        <v>#REF!</v>
      </c>
      <c r="AC22" s="718"/>
      <c r="AD22" s="718" t="e">
        <f>IF(AND('Mapa final'!#REF!="Media",'Mapa final'!#REF!="Mayor"),CONCATENATE("R",'Mapa final'!#REF!),"")</f>
        <v>#REF!</v>
      </c>
      <c r="AE22" s="718"/>
      <c r="AF22" s="718" t="str">
        <f>IF(AND('Mapa final'!$P$18="Media",'Mapa final'!$T$18="Mayor"),CONCATENATE("R",'Mapa final'!$A$18),"")</f>
        <v/>
      </c>
      <c r="AG22" s="719"/>
      <c r="AH22" s="708" t="e">
        <f>IF(AND('Mapa final'!#REF!="Media",'Mapa final'!#REF!="Catastrófico"),CONCATENATE("R",'Mapa final'!#REF!),"")</f>
        <v>#REF!</v>
      </c>
      <c r="AI22" s="709"/>
      <c r="AJ22" s="709" t="e">
        <f>IF(AND('Mapa final'!#REF!="Media",'Mapa final'!#REF!="Catastrófico"),CONCATENATE("R",'Mapa final'!#REF!),"")</f>
        <v>#REF!</v>
      </c>
      <c r="AK22" s="709"/>
      <c r="AL22" s="709" t="str">
        <f>IF(AND('Mapa final'!$P$18="Media",'Mapa final'!$T$18="Catastrófico"),CONCATENATE("R",'Mapa final'!$A$18),"")</f>
        <v/>
      </c>
      <c r="AM22" s="710"/>
      <c r="AN22" s="77"/>
      <c r="AO22" s="751" t="s">
        <v>486</v>
      </c>
      <c r="AP22" s="752"/>
      <c r="AQ22" s="752"/>
      <c r="AR22" s="752"/>
      <c r="AS22" s="752"/>
      <c r="AT22" s="753"/>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row>
    <row r="23" spans="1:80" x14ac:dyDescent="0.25">
      <c r="A23" s="77"/>
      <c r="B23" s="731"/>
      <c r="C23" s="731"/>
      <c r="D23" s="732"/>
      <c r="E23" s="724"/>
      <c r="F23" s="725"/>
      <c r="G23" s="725"/>
      <c r="H23" s="725"/>
      <c r="I23" s="726"/>
      <c r="J23" s="693"/>
      <c r="K23" s="694"/>
      <c r="L23" s="694"/>
      <c r="M23" s="694"/>
      <c r="N23" s="694"/>
      <c r="O23" s="695"/>
      <c r="P23" s="693"/>
      <c r="Q23" s="694"/>
      <c r="R23" s="694"/>
      <c r="S23" s="694"/>
      <c r="T23" s="694"/>
      <c r="U23" s="695"/>
      <c r="V23" s="693"/>
      <c r="W23" s="694"/>
      <c r="X23" s="694"/>
      <c r="Y23" s="694"/>
      <c r="Z23" s="694"/>
      <c r="AA23" s="695"/>
      <c r="AB23" s="711"/>
      <c r="AC23" s="712"/>
      <c r="AD23" s="712"/>
      <c r="AE23" s="712"/>
      <c r="AF23" s="712"/>
      <c r="AG23" s="713"/>
      <c r="AH23" s="702"/>
      <c r="AI23" s="703"/>
      <c r="AJ23" s="703"/>
      <c r="AK23" s="703"/>
      <c r="AL23" s="703"/>
      <c r="AM23" s="704"/>
      <c r="AN23" s="77"/>
      <c r="AO23" s="754"/>
      <c r="AP23" s="755"/>
      <c r="AQ23" s="755"/>
      <c r="AR23" s="755"/>
      <c r="AS23" s="755"/>
      <c r="AT23" s="756"/>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row>
    <row r="24" spans="1:80" x14ac:dyDescent="0.25">
      <c r="A24" s="77"/>
      <c r="B24" s="731"/>
      <c r="C24" s="731"/>
      <c r="D24" s="732"/>
      <c r="E24" s="724"/>
      <c r="F24" s="725"/>
      <c r="G24" s="725"/>
      <c r="H24" s="725"/>
      <c r="I24" s="726"/>
      <c r="J24" s="693" t="e">
        <f>IF(AND('Mapa final'!#REF!="Media",'Mapa final'!#REF!="Leve"),CONCATENATE("R",'Mapa final'!#REF!),"")</f>
        <v>#REF!</v>
      </c>
      <c r="K24" s="694"/>
      <c r="L24" s="694" t="e">
        <f>IF(AND('Mapa final'!#REF!="Media",'Mapa final'!#REF!="Leve"),CONCATENATE("R",'Mapa final'!#REF!),"")</f>
        <v>#REF!</v>
      </c>
      <c r="M24" s="694"/>
      <c r="N24" s="694" t="str">
        <f>IF(AND('Mapa final'!$P$31="Media",'Mapa final'!$T$31="Leve"),CONCATENATE("R",'Mapa final'!$A$31),"")</f>
        <v/>
      </c>
      <c r="O24" s="695"/>
      <c r="P24" s="693" t="e">
        <f>IF(AND('Mapa final'!#REF!="Media",'Mapa final'!#REF!="Menor"),CONCATENATE("R",'Mapa final'!#REF!),"")</f>
        <v>#REF!</v>
      </c>
      <c r="Q24" s="694"/>
      <c r="R24" s="694" t="e">
        <f>IF(AND('Mapa final'!#REF!="Media",'Mapa final'!#REF!="Menor"),CONCATENATE("R",'Mapa final'!#REF!),"")</f>
        <v>#REF!</v>
      </c>
      <c r="S24" s="694"/>
      <c r="T24" s="694" t="str">
        <f>IF(AND('Mapa final'!$P$31="Media",'Mapa final'!$T$31="Menor"),CONCATENATE("R",'Mapa final'!$A$31),"")</f>
        <v/>
      </c>
      <c r="U24" s="695"/>
      <c r="V24" s="693" t="e">
        <f>IF(AND('Mapa final'!#REF!="Media",'Mapa final'!#REF!="Moderado"),CONCATENATE("R",'Mapa final'!#REF!),"")</f>
        <v>#REF!</v>
      </c>
      <c r="W24" s="694"/>
      <c r="X24" s="694" t="e">
        <f>IF(AND('Mapa final'!#REF!="Media",'Mapa final'!#REF!="Moderado"),CONCATENATE("R",'Mapa final'!#REF!),"")</f>
        <v>#REF!</v>
      </c>
      <c r="Y24" s="694"/>
      <c r="Z24" s="694" t="str">
        <f>IF(AND('Mapa final'!$P$31="Media",'Mapa final'!$T$31="Moderado"),CONCATENATE("R",'Mapa final'!$A$31),"")</f>
        <v/>
      </c>
      <c r="AA24" s="695"/>
      <c r="AB24" s="711" t="e">
        <f>IF(AND('Mapa final'!#REF!="Media",'Mapa final'!#REF!="Mayor"),CONCATENATE("R",'Mapa final'!#REF!),"")</f>
        <v>#REF!</v>
      </c>
      <c r="AC24" s="712"/>
      <c r="AD24" s="712" t="e">
        <f>IF(AND('Mapa final'!#REF!="Media",'Mapa final'!#REF!="Mayor"),CONCATENATE("R",'Mapa final'!#REF!),"")</f>
        <v>#REF!</v>
      </c>
      <c r="AE24" s="712"/>
      <c r="AF24" s="712" t="str">
        <f>IF(AND('Mapa final'!$P$31="Media",'Mapa final'!$T$31="Mayor"),CONCATENATE("R",'Mapa final'!$A$31),"")</f>
        <v/>
      </c>
      <c r="AG24" s="713"/>
      <c r="AH24" s="702" t="e">
        <f>IF(AND('Mapa final'!#REF!="Media",'Mapa final'!#REF!="Catastrófico"),CONCATENATE("R",'Mapa final'!#REF!),"")</f>
        <v>#REF!</v>
      </c>
      <c r="AI24" s="703"/>
      <c r="AJ24" s="703" t="e">
        <f>IF(AND('Mapa final'!#REF!="Media",'Mapa final'!#REF!="Catastrófico"),CONCATENATE("R",'Mapa final'!#REF!),"")</f>
        <v>#REF!</v>
      </c>
      <c r="AK24" s="703"/>
      <c r="AL24" s="703" t="str">
        <f>IF(AND('Mapa final'!$P$31="Media",'Mapa final'!$T$31="Catastrófico"),CONCATENATE("R",'Mapa final'!$A$31),"")</f>
        <v/>
      </c>
      <c r="AM24" s="704"/>
      <c r="AN24" s="77"/>
      <c r="AO24" s="754"/>
      <c r="AP24" s="755"/>
      <c r="AQ24" s="755"/>
      <c r="AR24" s="755"/>
      <c r="AS24" s="755"/>
      <c r="AT24" s="756"/>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row>
    <row r="25" spans="1:80" x14ac:dyDescent="0.25">
      <c r="A25" s="77"/>
      <c r="B25" s="731"/>
      <c r="C25" s="731"/>
      <c r="D25" s="732"/>
      <c r="E25" s="724"/>
      <c r="F25" s="725"/>
      <c r="G25" s="725"/>
      <c r="H25" s="725"/>
      <c r="I25" s="726"/>
      <c r="J25" s="693"/>
      <c r="K25" s="694"/>
      <c r="L25" s="694"/>
      <c r="M25" s="694"/>
      <c r="N25" s="694"/>
      <c r="O25" s="695"/>
      <c r="P25" s="693"/>
      <c r="Q25" s="694"/>
      <c r="R25" s="694"/>
      <c r="S25" s="694"/>
      <c r="T25" s="694"/>
      <c r="U25" s="695"/>
      <c r="V25" s="693"/>
      <c r="W25" s="694"/>
      <c r="X25" s="694"/>
      <c r="Y25" s="694"/>
      <c r="Z25" s="694"/>
      <c r="AA25" s="695"/>
      <c r="AB25" s="711"/>
      <c r="AC25" s="712"/>
      <c r="AD25" s="712"/>
      <c r="AE25" s="712"/>
      <c r="AF25" s="712"/>
      <c r="AG25" s="713"/>
      <c r="AH25" s="702"/>
      <c r="AI25" s="703"/>
      <c r="AJ25" s="703"/>
      <c r="AK25" s="703"/>
      <c r="AL25" s="703"/>
      <c r="AM25" s="704"/>
      <c r="AN25" s="77"/>
      <c r="AO25" s="754"/>
      <c r="AP25" s="755"/>
      <c r="AQ25" s="755"/>
      <c r="AR25" s="755"/>
      <c r="AS25" s="755"/>
      <c r="AT25" s="756"/>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row>
    <row r="26" spans="1:80" x14ac:dyDescent="0.25">
      <c r="A26" s="77"/>
      <c r="B26" s="731"/>
      <c r="C26" s="731"/>
      <c r="D26" s="732"/>
      <c r="E26" s="724"/>
      <c r="F26" s="725"/>
      <c r="G26" s="725"/>
      <c r="H26" s="725"/>
      <c r="I26" s="726"/>
      <c r="J26" s="693" t="e">
        <f>IF(AND('Mapa final'!#REF!="Media",'Mapa final'!#REF!="Leve"),CONCATENATE("R",'Mapa final'!#REF!),"")</f>
        <v>#REF!</v>
      </c>
      <c r="K26" s="694"/>
      <c r="L26" s="694" t="e">
        <f>IF(AND('Mapa final'!#REF!="Media",'Mapa final'!#REF!="Leve"),CONCATENATE("R",'Mapa final'!#REF!),"")</f>
        <v>#REF!</v>
      </c>
      <c r="M26" s="694"/>
      <c r="N26" s="694" t="e">
        <f>IF(AND('Mapa final'!#REF!="Media",'Mapa final'!#REF!="Leve"),CONCATENATE("R",'Mapa final'!#REF!),"")</f>
        <v>#REF!</v>
      </c>
      <c r="O26" s="695"/>
      <c r="P26" s="693" t="e">
        <f>IF(AND('Mapa final'!#REF!="Media",'Mapa final'!#REF!="Menor"),CONCATENATE("R",'Mapa final'!#REF!),"")</f>
        <v>#REF!</v>
      </c>
      <c r="Q26" s="694"/>
      <c r="R26" s="694" t="e">
        <f>IF(AND('Mapa final'!#REF!="Media",'Mapa final'!#REF!="Menor"),CONCATENATE("R",'Mapa final'!#REF!),"")</f>
        <v>#REF!</v>
      </c>
      <c r="S26" s="694"/>
      <c r="T26" s="694" t="e">
        <f>IF(AND('Mapa final'!#REF!="Media",'Mapa final'!#REF!="Menor"),CONCATENATE("R",'Mapa final'!#REF!),"")</f>
        <v>#REF!</v>
      </c>
      <c r="U26" s="695"/>
      <c r="V26" s="693" t="e">
        <f>IF(AND('Mapa final'!#REF!="Media",'Mapa final'!#REF!="Moderado"),CONCATENATE("R",'Mapa final'!#REF!),"")</f>
        <v>#REF!</v>
      </c>
      <c r="W26" s="694"/>
      <c r="X26" s="694" t="e">
        <f>IF(AND('Mapa final'!#REF!="Media",'Mapa final'!#REF!="Moderado"),CONCATENATE("R",'Mapa final'!#REF!),"")</f>
        <v>#REF!</v>
      </c>
      <c r="Y26" s="694"/>
      <c r="Z26" s="694" t="e">
        <f>IF(AND('Mapa final'!#REF!="Media",'Mapa final'!#REF!="Moderado"),CONCATENATE("R",'Mapa final'!#REF!),"")</f>
        <v>#REF!</v>
      </c>
      <c r="AA26" s="695"/>
      <c r="AB26" s="711" t="e">
        <f>IF(AND('Mapa final'!#REF!="Media",'Mapa final'!#REF!="Mayor"),CONCATENATE("R",'Mapa final'!#REF!),"")</f>
        <v>#REF!</v>
      </c>
      <c r="AC26" s="712"/>
      <c r="AD26" s="712" t="e">
        <f>IF(AND('Mapa final'!#REF!="Media",'Mapa final'!#REF!="Mayor"),CONCATENATE("R",'Mapa final'!#REF!),"")</f>
        <v>#REF!</v>
      </c>
      <c r="AE26" s="712"/>
      <c r="AF26" s="712" t="e">
        <f>IF(AND('Mapa final'!#REF!="Media",'Mapa final'!#REF!="Mayor"),CONCATENATE("R",'Mapa final'!#REF!),"")</f>
        <v>#REF!</v>
      </c>
      <c r="AG26" s="713"/>
      <c r="AH26" s="702" t="e">
        <f>IF(AND('Mapa final'!#REF!="Media",'Mapa final'!#REF!="Catastrófico"),CONCATENATE("R",'Mapa final'!#REF!),"")</f>
        <v>#REF!</v>
      </c>
      <c r="AI26" s="703"/>
      <c r="AJ26" s="703" t="e">
        <f>IF(AND('Mapa final'!#REF!="Media",'Mapa final'!#REF!="Catastrófico"),CONCATENATE("R",'Mapa final'!#REF!),"")</f>
        <v>#REF!</v>
      </c>
      <c r="AK26" s="703"/>
      <c r="AL26" s="703" t="e">
        <f>IF(AND('Mapa final'!#REF!="Media",'Mapa final'!#REF!="Catastrófico"),CONCATENATE("R",'Mapa final'!#REF!),"")</f>
        <v>#REF!</v>
      </c>
      <c r="AM26" s="704"/>
      <c r="AN26" s="77"/>
      <c r="AO26" s="754"/>
      <c r="AP26" s="755"/>
      <c r="AQ26" s="755"/>
      <c r="AR26" s="755"/>
      <c r="AS26" s="755"/>
      <c r="AT26" s="756"/>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row>
    <row r="27" spans="1:80" x14ac:dyDescent="0.25">
      <c r="A27" s="77"/>
      <c r="B27" s="731"/>
      <c r="C27" s="731"/>
      <c r="D27" s="732"/>
      <c r="E27" s="724"/>
      <c r="F27" s="725"/>
      <c r="G27" s="725"/>
      <c r="H27" s="725"/>
      <c r="I27" s="726"/>
      <c r="J27" s="693"/>
      <c r="K27" s="694"/>
      <c r="L27" s="694"/>
      <c r="M27" s="694"/>
      <c r="N27" s="694"/>
      <c r="O27" s="695"/>
      <c r="P27" s="693"/>
      <c r="Q27" s="694"/>
      <c r="R27" s="694"/>
      <c r="S27" s="694"/>
      <c r="T27" s="694"/>
      <c r="U27" s="695"/>
      <c r="V27" s="693"/>
      <c r="W27" s="694"/>
      <c r="X27" s="694"/>
      <c r="Y27" s="694"/>
      <c r="Z27" s="694"/>
      <c r="AA27" s="695"/>
      <c r="AB27" s="711"/>
      <c r="AC27" s="712"/>
      <c r="AD27" s="712"/>
      <c r="AE27" s="712"/>
      <c r="AF27" s="712"/>
      <c r="AG27" s="713"/>
      <c r="AH27" s="702"/>
      <c r="AI27" s="703"/>
      <c r="AJ27" s="703"/>
      <c r="AK27" s="703"/>
      <c r="AL27" s="703"/>
      <c r="AM27" s="704"/>
      <c r="AN27" s="77"/>
      <c r="AO27" s="754"/>
      <c r="AP27" s="755"/>
      <c r="AQ27" s="755"/>
      <c r="AR27" s="755"/>
      <c r="AS27" s="755"/>
      <c r="AT27" s="756"/>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row>
    <row r="28" spans="1:80" x14ac:dyDescent="0.25">
      <c r="A28" s="77"/>
      <c r="B28" s="731"/>
      <c r="C28" s="731"/>
      <c r="D28" s="732"/>
      <c r="E28" s="724"/>
      <c r="F28" s="725"/>
      <c r="G28" s="725"/>
      <c r="H28" s="725"/>
      <c r="I28" s="726"/>
      <c r="J28" s="693" t="e">
        <f>IF(AND('Mapa final'!#REF!="Media",'Mapa final'!#REF!="Leve"),CONCATENATE("R",'Mapa final'!#REF!),"")</f>
        <v>#REF!</v>
      </c>
      <c r="K28" s="694"/>
      <c r="L28" s="694" t="e">
        <f>IF(AND('Mapa final'!#REF!="Media",'Mapa final'!#REF!="Leve"),CONCATENATE("R",'Mapa final'!#REF!),"")</f>
        <v>#REF!</v>
      </c>
      <c r="M28" s="694"/>
      <c r="N28" s="694" t="e">
        <f>IF(AND('Mapa final'!#REF!="Media",'Mapa final'!#REF!="Leve"),CONCATENATE("R",'Mapa final'!#REF!),"")</f>
        <v>#REF!</v>
      </c>
      <c r="O28" s="695"/>
      <c r="P28" s="693" t="e">
        <f>IF(AND('Mapa final'!#REF!="Media",'Mapa final'!#REF!="Menor"),CONCATENATE("R",'Mapa final'!#REF!),"")</f>
        <v>#REF!</v>
      </c>
      <c r="Q28" s="694"/>
      <c r="R28" s="694" t="e">
        <f>IF(AND('Mapa final'!#REF!="Media",'Mapa final'!#REF!="Menor"),CONCATENATE("R",'Mapa final'!#REF!),"")</f>
        <v>#REF!</v>
      </c>
      <c r="S28" s="694"/>
      <c r="T28" s="694" t="e">
        <f>IF(AND('Mapa final'!#REF!="Media",'Mapa final'!#REF!="Menor"),CONCATENATE("R",'Mapa final'!#REF!),"")</f>
        <v>#REF!</v>
      </c>
      <c r="U28" s="695"/>
      <c r="V28" s="693" t="e">
        <f>IF(AND('Mapa final'!#REF!="Media",'Mapa final'!#REF!="Moderado"),CONCATENATE("R",'Mapa final'!#REF!),"")</f>
        <v>#REF!</v>
      </c>
      <c r="W28" s="694"/>
      <c r="X28" s="694" t="e">
        <f>IF(AND('Mapa final'!#REF!="Media",'Mapa final'!#REF!="Moderado"),CONCATENATE("R",'Mapa final'!#REF!),"")</f>
        <v>#REF!</v>
      </c>
      <c r="Y28" s="694"/>
      <c r="Z28" s="694" t="e">
        <f>IF(AND('Mapa final'!#REF!="Media",'Mapa final'!#REF!="Moderado"),CONCATENATE("R",'Mapa final'!#REF!),"")</f>
        <v>#REF!</v>
      </c>
      <c r="AA28" s="695"/>
      <c r="AB28" s="711" t="e">
        <f>IF(AND('Mapa final'!#REF!="Media",'Mapa final'!#REF!="Mayor"),CONCATENATE("R",'Mapa final'!#REF!),"")</f>
        <v>#REF!</v>
      </c>
      <c r="AC28" s="712"/>
      <c r="AD28" s="712" t="e">
        <f>IF(AND('Mapa final'!#REF!="Media",'Mapa final'!#REF!="Mayor"),CONCATENATE("R",'Mapa final'!#REF!),"")</f>
        <v>#REF!</v>
      </c>
      <c r="AE28" s="712"/>
      <c r="AF28" s="712" t="e">
        <f>IF(AND('Mapa final'!#REF!="Media",'Mapa final'!#REF!="Mayor"),CONCATENATE("R",'Mapa final'!#REF!),"")</f>
        <v>#REF!</v>
      </c>
      <c r="AG28" s="713"/>
      <c r="AH28" s="702" t="e">
        <f>IF(AND('Mapa final'!#REF!="Media",'Mapa final'!#REF!="Catastrófico"),CONCATENATE("R",'Mapa final'!#REF!),"")</f>
        <v>#REF!</v>
      </c>
      <c r="AI28" s="703"/>
      <c r="AJ28" s="703" t="e">
        <f>IF(AND('Mapa final'!#REF!="Media",'Mapa final'!#REF!="Catastrófico"),CONCATENATE("R",'Mapa final'!#REF!),"")</f>
        <v>#REF!</v>
      </c>
      <c r="AK28" s="703"/>
      <c r="AL28" s="703" t="e">
        <f>IF(AND('Mapa final'!#REF!="Media",'Mapa final'!#REF!="Catastrófico"),CONCATENATE("R",'Mapa final'!#REF!),"")</f>
        <v>#REF!</v>
      </c>
      <c r="AM28" s="704"/>
      <c r="AN28" s="77"/>
      <c r="AO28" s="754"/>
      <c r="AP28" s="755"/>
      <c r="AQ28" s="755"/>
      <c r="AR28" s="755"/>
      <c r="AS28" s="755"/>
      <c r="AT28" s="756"/>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row>
    <row r="29" spans="1:80" ht="15.75" thickBot="1" x14ac:dyDescent="0.3">
      <c r="A29" s="77"/>
      <c r="B29" s="731"/>
      <c r="C29" s="731"/>
      <c r="D29" s="732"/>
      <c r="E29" s="727"/>
      <c r="F29" s="728"/>
      <c r="G29" s="728"/>
      <c r="H29" s="728"/>
      <c r="I29" s="729"/>
      <c r="J29" s="693"/>
      <c r="K29" s="694"/>
      <c r="L29" s="694"/>
      <c r="M29" s="694"/>
      <c r="N29" s="694"/>
      <c r="O29" s="695"/>
      <c r="P29" s="696"/>
      <c r="Q29" s="697"/>
      <c r="R29" s="697"/>
      <c r="S29" s="697"/>
      <c r="T29" s="697"/>
      <c r="U29" s="698"/>
      <c r="V29" s="696"/>
      <c r="W29" s="697"/>
      <c r="X29" s="697"/>
      <c r="Y29" s="697"/>
      <c r="Z29" s="697"/>
      <c r="AA29" s="698"/>
      <c r="AB29" s="714"/>
      <c r="AC29" s="715"/>
      <c r="AD29" s="715"/>
      <c r="AE29" s="715"/>
      <c r="AF29" s="715"/>
      <c r="AG29" s="716"/>
      <c r="AH29" s="705"/>
      <c r="AI29" s="706"/>
      <c r="AJ29" s="706"/>
      <c r="AK29" s="706"/>
      <c r="AL29" s="706"/>
      <c r="AM29" s="707"/>
      <c r="AN29" s="77"/>
      <c r="AO29" s="757"/>
      <c r="AP29" s="758"/>
      <c r="AQ29" s="758"/>
      <c r="AR29" s="758"/>
      <c r="AS29" s="758"/>
      <c r="AT29" s="759"/>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row>
    <row r="30" spans="1:80" x14ac:dyDescent="0.25">
      <c r="A30" s="77"/>
      <c r="B30" s="731"/>
      <c r="C30" s="731"/>
      <c r="D30" s="732"/>
      <c r="E30" s="721" t="s">
        <v>540</v>
      </c>
      <c r="F30" s="722"/>
      <c r="G30" s="722"/>
      <c r="H30" s="722"/>
      <c r="I30" s="722"/>
      <c r="J30" s="690" t="e">
        <f>IF(AND('Mapa final'!#REF!="Baja",'Mapa final'!#REF!="Leve"),CONCATENATE("R",'Mapa final'!#REF!),"")</f>
        <v>#REF!</v>
      </c>
      <c r="K30" s="691"/>
      <c r="L30" s="691" t="e">
        <f>IF(AND('Mapa final'!#REF!="Baja",'Mapa final'!#REF!="Leve"),CONCATENATE("R",'Mapa final'!#REF!),"")</f>
        <v>#REF!</v>
      </c>
      <c r="M30" s="691"/>
      <c r="N30" s="691" t="str">
        <f>IF(AND('Mapa final'!$P$18="Baja",'Mapa final'!$T$18="Leve"),CONCATENATE("R",'Mapa final'!$A$18),"")</f>
        <v/>
      </c>
      <c r="O30" s="692"/>
      <c r="P30" s="700" t="e">
        <f>IF(AND('Mapa final'!#REF!="Baja",'Mapa final'!#REF!="Menor"),CONCATENATE("R",'Mapa final'!#REF!),"")</f>
        <v>#REF!</v>
      </c>
      <c r="Q30" s="700"/>
      <c r="R30" s="700" t="e">
        <f>IF(AND('Mapa final'!#REF!="Baja",'Mapa final'!#REF!="Menor"),CONCATENATE("R",'Mapa final'!#REF!),"")</f>
        <v>#REF!</v>
      </c>
      <c r="S30" s="700"/>
      <c r="T30" s="700" t="str">
        <f>IF(AND('Mapa final'!$P$18="Baja",'Mapa final'!$T$18="Menor"),CONCATENATE("R",'Mapa final'!$A$18),"")</f>
        <v/>
      </c>
      <c r="U30" s="701"/>
      <c r="V30" s="699" t="e">
        <f>IF(AND('Mapa final'!#REF!="Baja",'Mapa final'!#REF!="Moderado"),CONCATENATE("R",'Mapa final'!#REF!),"")</f>
        <v>#REF!</v>
      </c>
      <c r="W30" s="700"/>
      <c r="X30" s="700" t="e">
        <f>IF(AND('Mapa final'!#REF!="Baja",'Mapa final'!#REF!="Moderado"),CONCATENATE("R",'Mapa final'!#REF!),"")</f>
        <v>#REF!</v>
      </c>
      <c r="Y30" s="700"/>
      <c r="Z30" s="700" t="str">
        <f>IF(AND('Mapa final'!$P$18="Baja",'Mapa final'!$T$18="Moderado"),CONCATENATE("R",'Mapa final'!$A$18),"")</f>
        <v/>
      </c>
      <c r="AA30" s="701"/>
      <c r="AB30" s="717" t="e">
        <f>IF(AND('Mapa final'!#REF!="Baja",'Mapa final'!#REF!="Mayor"),CONCATENATE("R",'Mapa final'!#REF!),"")</f>
        <v>#REF!</v>
      </c>
      <c r="AC30" s="718"/>
      <c r="AD30" s="718" t="e">
        <f>IF(AND('Mapa final'!#REF!="Baja",'Mapa final'!#REF!="Mayor"),CONCATENATE("R",'Mapa final'!#REF!),"")</f>
        <v>#REF!</v>
      </c>
      <c r="AE30" s="718"/>
      <c r="AF30" s="718" t="str">
        <f>IF(AND('Mapa final'!$P$18="Baja",'Mapa final'!$T$18="Mayor"),CONCATENATE("R",'Mapa final'!$A$18),"")</f>
        <v/>
      </c>
      <c r="AG30" s="719"/>
      <c r="AH30" s="708" t="e">
        <f>IF(AND('Mapa final'!#REF!="Baja",'Mapa final'!#REF!="Catastrófico"),CONCATENATE("R",'Mapa final'!#REF!),"")</f>
        <v>#REF!</v>
      </c>
      <c r="AI30" s="709"/>
      <c r="AJ30" s="709" t="e">
        <f>IF(AND('Mapa final'!#REF!="Baja",'Mapa final'!#REF!="Catastrófico"),CONCATENATE("R",'Mapa final'!#REF!),"")</f>
        <v>#REF!</v>
      </c>
      <c r="AK30" s="709"/>
      <c r="AL30" s="709" t="str">
        <f>IF(AND('Mapa final'!$P$18="Baja",'Mapa final'!$T$18="Catastrófico"),CONCATENATE("R",'Mapa final'!$A$18),"")</f>
        <v/>
      </c>
      <c r="AM30" s="710"/>
      <c r="AN30" s="77"/>
      <c r="AO30" s="760" t="s">
        <v>541</v>
      </c>
      <c r="AP30" s="761"/>
      <c r="AQ30" s="761"/>
      <c r="AR30" s="761"/>
      <c r="AS30" s="761"/>
      <c r="AT30" s="762"/>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row>
    <row r="31" spans="1:80" x14ac:dyDescent="0.25">
      <c r="A31" s="77"/>
      <c r="B31" s="731"/>
      <c r="C31" s="731"/>
      <c r="D31" s="732"/>
      <c r="E31" s="724"/>
      <c r="F31" s="725"/>
      <c r="G31" s="725"/>
      <c r="H31" s="725"/>
      <c r="I31" s="725"/>
      <c r="J31" s="684"/>
      <c r="K31" s="685"/>
      <c r="L31" s="685"/>
      <c r="M31" s="685"/>
      <c r="N31" s="685"/>
      <c r="O31" s="686"/>
      <c r="P31" s="694"/>
      <c r="Q31" s="694"/>
      <c r="R31" s="694"/>
      <c r="S31" s="694"/>
      <c r="T31" s="694"/>
      <c r="U31" s="695"/>
      <c r="V31" s="693"/>
      <c r="W31" s="694"/>
      <c r="X31" s="694"/>
      <c r="Y31" s="694"/>
      <c r="Z31" s="694"/>
      <c r="AA31" s="695"/>
      <c r="AB31" s="711"/>
      <c r="AC31" s="712"/>
      <c r="AD31" s="712"/>
      <c r="AE31" s="712"/>
      <c r="AF31" s="712"/>
      <c r="AG31" s="713"/>
      <c r="AH31" s="702"/>
      <c r="AI31" s="703"/>
      <c r="AJ31" s="703"/>
      <c r="AK31" s="703"/>
      <c r="AL31" s="703"/>
      <c r="AM31" s="704"/>
      <c r="AN31" s="77"/>
      <c r="AO31" s="763"/>
      <c r="AP31" s="764"/>
      <c r="AQ31" s="764"/>
      <c r="AR31" s="764"/>
      <c r="AS31" s="764"/>
      <c r="AT31" s="765"/>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row>
    <row r="32" spans="1:80" x14ac:dyDescent="0.25">
      <c r="A32" s="77"/>
      <c r="B32" s="731"/>
      <c r="C32" s="731"/>
      <c r="D32" s="732"/>
      <c r="E32" s="724"/>
      <c r="F32" s="725"/>
      <c r="G32" s="725"/>
      <c r="H32" s="725"/>
      <c r="I32" s="725"/>
      <c r="J32" s="684" t="e">
        <f>IF(AND('Mapa final'!#REF!="Baja",'Mapa final'!#REF!="Leve"),CONCATENATE("R",'Mapa final'!#REF!),"")</f>
        <v>#REF!</v>
      </c>
      <c r="K32" s="685"/>
      <c r="L32" s="685" t="e">
        <f>IF(AND('Mapa final'!#REF!="Baja",'Mapa final'!#REF!="Leve"),CONCATENATE("R",'Mapa final'!#REF!),"")</f>
        <v>#REF!</v>
      </c>
      <c r="M32" s="685"/>
      <c r="N32" s="685" t="str">
        <f>IF(AND('Mapa final'!$P$31="Baja",'Mapa final'!$T$31="Leve"),CONCATENATE("R",'Mapa final'!$A$31),"")</f>
        <v/>
      </c>
      <c r="O32" s="686"/>
      <c r="P32" s="694" t="e">
        <f>IF(AND('Mapa final'!#REF!="Baja",'Mapa final'!#REF!="Menor"),CONCATENATE("R",'Mapa final'!#REF!),"")</f>
        <v>#REF!</v>
      </c>
      <c r="Q32" s="694"/>
      <c r="R32" s="694" t="e">
        <f>IF(AND('Mapa final'!#REF!="Baja",'Mapa final'!#REF!="Menor"),CONCATENATE("R",'Mapa final'!#REF!),"")</f>
        <v>#REF!</v>
      </c>
      <c r="S32" s="694"/>
      <c r="T32" s="694" t="str">
        <f>IF(AND('Mapa final'!$P$31="Baja",'Mapa final'!$T$31="Menor"),CONCATENATE("R",'Mapa final'!$A$31),"")</f>
        <v/>
      </c>
      <c r="U32" s="695"/>
      <c r="V32" s="693" t="e">
        <f>IF(AND('Mapa final'!#REF!="Baja",'Mapa final'!#REF!="Moderado"),CONCATENATE("R",'Mapa final'!#REF!),"")</f>
        <v>#REF!</v>
      </c>
      <c r="W32" s="694"/>
      <c r="X32" s="694" t="e">
        <f>IF(AND('Mapa final'!#REF!="Baja",'Mapa final'!#REF!="Moderado"),CONCATENATE("R",'Mapa final'!#REF!),"")</f>
        <v>#REF!</v>
      </c>
      <c r="Y32" s="694"/>
      <c r="Z32" s="694" t="str">
        <f>IF(AND('Mapa final'!$P$31="Baja",'Mapa final'!$T$31="Moderado"),CONCATENATE("R",'Mapa final'!$A$31),"")</f>
        <v>R1S</v>
      </c>
      <c r="AA32" s="695"/>
      <c r="AB32" s="711" t="e">
        <f>IF(AND('Mapa final'!#REF!="Baja",'Mapa final'!#REF!="Mayor"),CONCATENATE("R",'Mapa final'!#REF!),"")</f>
        <v>#REF!</v>
      </c>
      <c r="AC32" s="712"/>
      <c r="AD32" s="712" t="e">
        <f>IF(AND('Mapa final'!#REF!="Baja",'Mapa final'!#REF!="Mayor"),CONCATENATE("R",'Mapa final'!#REF!),"")</f>
        <v>#REF!</v>
      </c>
      <c r="AE32" s="712"/>
      <c r="AF32" s="712" t="str">
        <f>IF(AND('Mapa final'!$P$31="Baja",'Mapa final'!$T$31="Mayor"),CONCATENATE("R",'Mapa final'!$A$31),"")</f>
        <v/>
      </c>
      <c r="AG32" s="713"/>
      <c r="AH32" s="702" t="e">
        <f>IF(AND('Mapa final'!#REF!="Baja",'Mapa final'!#REF!="Catastrófico"),CONCATENATE("R",'Mapa final'!#REF!),"")</f>
        <v>#REF!</v>
      </c>
      <c r="AI32" s="703"/>
      <c r="AJ32" s="703" t="e">
        <f>IF(AND('Mapa final'!#REF!="Baja",'Mapa final'!#REF!="Catastrófico"),CONCATENATE("R",'Mapa final'!#REF!),"")</f>
        <v>#REF!</v>
      </c>
      <c r="AK32" s="703"/>
      <c r="AL32" s="703" t="str">
        <f>IF(AND('Mapa final'!$P$31="Baja",'Mapa final'!$T$31="Catastrófico"),CONCATENATE("R",'Mapa final'!$A$31),"")</f>
        <v/>
      </c>
      <c r="AM32" s="704"/>
      <c r="AN32" s="77"/>
      <c r="AO32" s="763"/>
      <c r="AP32" s="764"/>
      <c r="AQ32" s="764"/>
      <c r="AR32" s="764"/>
      <c r="AS32" s="764"/>
      <c r="AT32" s="765"/>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row>
    <row r="33" spans="1:80" x14ac:dyDescent="0.25">
      <c r="A33" s="77"/>
      <c r="B33" s="731"/>
      <c r="C33" s="731"/>
      <c r="D33" s="732"/>
      <c r="E33" s="724"/>
      <c r="F33" s="725"/>
      <c r="G33" s="725"/>
      <c r="H33" s="725"/>
      <c r="I33" s="725"/>
      <c r="J33" s="684"/>
      <c r="K33" s="685"/>
      <c r="L33" s="685"/>
      <c r="M33" s="685"/>
      <c r="N33" s="685"/>
      <c r="O33" s="686"/>
      <c r="P33" s="694"/>
      <c r="Q33" s="694"/>
      <c r="R33" s="694"/>
      <c r="S33" s="694"/>
      <c r="T33" s="694"/>
      <c r="U33" s="695"/>
      <c r="V33" s="693"/>
      <c r="W33" s="694"/>
      <c r="X33" s="694"/>
      <c r="Y33" s="694"/>
      <c r="Z33" s="694"/>
      <c r="AA33" s="695"/>
      <c r="AB33" s="711"/>
      <c r="AC33" s="712"/>
      <c r="AD33" s="712"/>
      <c r="AE33" s="712"/>
      <c r="AF33" s="712"/>
      <c r="AG33" s="713"/>
      <c r="AH33" s="702"/>
      <c r="AI33" s="703"/>
      <c r="AJ33" s="703"/>
      <c r="AK33" s="703"/>
      <c r="AL33" s="703"/>
      <c r="AM33" s="704"/>
      <c r="AN33" s="77"/>
      <c r="AO33" s="763"/>
      <c r="AP33" s="764"/>
      <c r="AQ33" s="764"/>
      <c r="AR33" s="764"/>
      <c r="AS33" s="764"/>
      <c r="AT33" s="765"/>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row>
    <row r="34" spans="1:80" x14ac:dyDescent="0.25">
      <c r="A34" s="77"/>
      <c r="B34" s="731"/>
      <c r="C34" s="731"/>
      <c r="D34" s="732"/>
      <c r="E34" s="724"/>
      <c r="F34" s="725"/>
      <c r="G34" s="725"/>
      <c r="H34" s="725"/>
      <c r="I34" s="725"/>
      <c r="J34" s="684" t="e">
        <f>IF(AND('Mapa final'!#REF!="Baja",'Mapa final'!#REF!="Leve"),CONCATENATE("R",'Mapa final'!#REF!),"")</f>
        <v>#REF!</v>
      </c>
      <c r="K34" s="685"/>
      <c r="L34" s="685" t="e">
        <f>IF(AND('Mapa final'!#REF!="Baja",'Mapa final'!#REF!="Leve"),CONCATENATE("R",'Mapa final'!#REF!),"")</f>
        <v>#REF!</v>
      </c>
      <c r="M34" s="685"/>
      <c r="N34" s="685" t="e">
        <f>IF(AND('Mapa final'!#REF!="Baja",'Mapa final'!#REF!="Leve"),CONCATENATE("R",'Mapa final'!#REF!),"")</f>
        <v>#REF!</v>
      </c>
      <c r="O34" s="686"/>
      <c r="P34" s="694" t="e">
        <f>IF(AND('Mapa final'!#REF!="Baja",'Mapa final'!#REF!="Menor"),CONCATENATE("R",'Mapa final'!#REF!),"")</f>
        <v>#REF!</v>
      </c>
      <c r="Q34" s="694"/>
      <c r="R34" s="694" t="e">
        <f>IF(AND('Mapa final'!#REF!="Baja",'Mapa final'!#REF!="Menor"),CONCATENATE("R",'Mapa final'!#REF!),"")</f>
        <v>#REF!</v>
      </c>
      <c r="S34" s="694"/>
      <c r="T34" s="694" t="e">
        <f>IF(AND('Mapa final'!#REF!="Baja",'Mapa final'!#REF!="Menor"),CONCATENATE("R",'Mapa final'!#REF!),"")</f>
        <v>#REF!</v>
      </c>
      <c r="U34" s="695"/>
      <c r="V34" s="693" t="e">
        <f>IF(AND('Mapa final'!#REF!="Baja",'Mapa final'!#REF!="Moderado"),CONCATENATE("R",'Mapa final'!#REF!),"")</f>
        <v>#REF!</v>
      </c>
      <c r="W34" s="694"/>
      <c r="X34" s="694" t="e">
        <f>IF(AND('Mapa final'!#REF!="Baja",'Mapa final'!#REF!="Moderado"),CONCATENATE("R",'Mapa final'!#REF!),"")</f>
        <v>#REF!</v>
      </c>
      <c r="Y34" s="694"/>
      <c r="Z34" s="694" t="e">
        <f>IF(AND('Mapa final'!#REF!="Baja",'Mapa final'!#REF!="Moderado"),CONCATENATE("R",'Mapa final'!#REF!),"")</f>
        <v>#REF!</v>
      </c>
      <c r="AA34" s="695"/>
      <c r="AB34" s="711" t="e">
        <f>IF(AND('Mapa final'!#REF!="Baja",'Mapa final'!#REF!="Mayor"),CONCATENATE("R",'Mapa final'!#REF!),"")</f>
        <v>#REF!</v>
      </c>
      <c r="AC34" s="712"/>
      <c r="AD34" s="712" t="e">
        <f>IF(AND('Mapa final'!#REF!="Baja",'Mapa final'!#REF!="Mayor"),CONCATENATE("R",'Mapa final'!#REF!),"")</f>
        <v>#REF!</v>
      </c>
      <c r="AE34" s="712"/>
      <c r="AF34" s="712" t="e">
        <f>IF(AND('Mapa final'!#REF!="Baja",'Mapa final'!#REF!="Mayor"),CONCATENATE("R",'Mapa final'!#REF!),"")</f>
        <v>#REF!</v>
      </c>
      <c r="AG34" s="713"/>
      <c r="AH34" s="702" t="e">
        <f>IF(AND('Mapa final'!#REF!="Baja",'Mapa final'!#REF!="Catastrófico"),CONCATENATE("R",'Mapa final'!#REF!),"")</f>
        <v>#REF!</v>
      </c>
      <c r="AI34" s="703"/>
      <c r="AJ34" s="703" t="e">
        <f>IF(AND('Mapa final'!#REF!="Baja",'Mapa final'!#REF!="Catastrófico"),CONCATENATE("R",'Mapa final'!#REF!),"")</f>
        <v>#REF!</v>
      </c>
      <c r="AK34" s="703"/>
      <c r="AL34" s="703" t="e">
        <f>IF(AND('Mapa final'!#REF!="Baja",'Mapa final'!#REF!="Catastrófico"),CONCATENATE("R",'Mapa final'!#REF!),"")</f>
        <v>#REF!</v>
      </c>
      <c r="AM34" s="704"/>
      <c r="AN34" s="77"/>
      <c r="AO34" s="763"/>
      <c r="AP34" s="764"/>
      <c r="AQ34" s="764"/>
      <c r="AR34" s="764"/>
      <c r="AS34" s="764"/>
      <c r="AT34" s="765"/>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row>
    <row r="35" spans="1:80" x14ac:dyDescent="0.25">
      <c r="A35" s="77"/>
      <c r="B35" s="731"/>
      <c r="C35" s="731"/>
      <c r="D35" s="732"/>
      <c r="E35" s="724"/>
      <c r="F35" s="725"/>
      <c r="G35" s="725"/>
      <c r="H35" s="725"/>
      <c r="I35" s="725"/>
      <c r="J35" s="684"/>
      <c r="K35" s="685"/>
      <c r="L35" s="685"/>
      <c r="M35" s="685"/>
      <c r="N35" s="685"/>
      <c r="O35" s="686"/>
      <c r="P35" s="694"/>
      <c r="Q35" s="694"/>
      <c r="R35" s="694"/>
      <c r="S35" s="694"/>
      <c r="T35" s="694"/>
      <c r="U35" s="695"/>
      <c r="V35" s="693"/>
      <c r="W35" s="694"/>
      <c r="X35" s="694"/>
      <c r="Y35" s="694"/>
      <c r="Z35" s="694"/>
      <c r="AA35" s="695"/>
      <c r="AB35" s="711"/>
      <c r="AC35" s="712"/>
      <c r="AD35" s="712"/>
      <c r="AE35" s="712"/>
      <c r="AF35" s="712"/>
      <c r="AG35" s="713"/>
      <c r="AH35" s="702"/>
      <c r="AI35" s="703"/>
      <c r="AJ35" s="703"/>
      <c r="AK35" s="703"/>
      <c r="AL35" s="703"/>
      <c r="AM35" s="704"/>
      <c r="AN35" s="77"/>
      <c r="AO35" s="763"/>
      <c r="AP35" s="764"/>
      <c r="AQ35" s="764"/>
      <c r="AR35" s="764"/>
      <c r="AS35" s="764"/>
      <c r="AT35" s="765"/>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row>
    <row r="36" spans="1:80" x14ac:dyDescent="0.25">
      <c r="A36" s="77"/>
      <c r="B36" s="731"/>
      <c r="C36" s="731"/>
      <c r="D36" s="732"/>
      <c r="E36" s="724"/>
      <c r="F36" s="725"/>
      <c r="G36" s="725"/>
      <c r="H36" s="725"/>
      <c r="I36" s="725"/>
      <c r="J36" s="684" t="e">
        <f>IF(AND('Mapa final'!#REF!="Baja",'Mapa final'!#REF!="Leve"),CONCATENATE("R",'Mapa final'!#REF!),"")</f>
        <v>#REF!</v>
      </c>
      <c r="K36" s="685"/>
      <c r="L36" s="685" t="e">
        <f>IF(AND('Mapa final'!#REF!="Baja",'Mapa final'!#REF!="Leve"),CONCATENATE("R",'Mapa final'!#REF!),"")</f>
        <v>#REF!</v>
      </c>
      <c r="M36" s="685"/>
      <c r="N36" s="685" t="e">
        <f>IF(AND('Mapa final'!#REF!="Baja",'Mapa final'!#REF!="Leve"),CONCATENATE("R",'Mapa final'!#REF!),"")</f>
        <v>#REF!</v>
      </c>
      <c r="O36" s="686"/>
      <c r="P36" s="694" t="e">
        <f>IF(AND('Mapa final'!#REF!="Baja",'Mapa final'!#REF!="Menor"),CONCATENATE("R",'Mapa final'!#REF!),"")</f>
        <v>#REF!</v>
      </c>
      <c r="Q36" s="694"/>
      <c r="R36" s="694" t="e">
        <f>IF(AND('Mapa final'!#REF!="Baja",'Mapa final'!#REF!="Menor"),CONCATENATE("R",'Mapa final'!#REF!),"")</f>
        <v>#REF!</v>
      </c>
      <c r="S36" s="694"/>
      <c r="T36" s="694" t="e">
        <f>IF(AND('Mapa final'!#REF!="Baja",'Mapa final'!#REF!="Menor"),CONCATENATE("R",'Mapa final'!#REF!),"")</f>
        <v>#REF!</v>
      </c>
      <c r="U36" s="695"/>
      <c r="V36" s="693" t="e">
        <f>IF(AND('Mapa final'!#REF!="Baja",'Mapa final'!#REF!="Moderado"),CONCATENATE("R",'Mapa final'!#REF!),"")</f>
        <v>#REF!</v>
      </c>
      <c r="W36" s="694"/>
      <c r="X36" s="694" t="e">
        <f>IF(AND('Mapa final'!#REF!="Baja",'Mapa final'!#REF!="Moderado"),CONCATENATE("R",'Mapa final'!#REF!),"")</f>
        <v>#REF!</v>
      </c>
      <c r="Y36" s="694"/>
      <c r="Z36" s="694" t="e">
        <f>IF(AND('Mapa final'!#REF!="Baja",'Mapa final'!#REF!="Moderado"),CONCATENATE("R",'Mapa final'!#REF!),"")</f>
        <v>#REF!</v>
      </c>
      <c r="AA36" s="695"/>
      <c r="AB36" s="711" t="e">
        <f>IF(AND('Mapa final'!#REF!="Baja",'Mapa final'!#REF!="Mayor"),CONCATENATE("R",'Mapa final'!#REF!),"")</f>
        <v>#REF!</v>
      </c>
      <c r="AC36" s="712"/>
      <c r="AD36" s="712" t="e">
        <f>IF(AND('Mapa final'!#REF!="Baja",'Mapa final'!#REF!="Mayor"),CONCATENATE("R",'Mapa final'!#REF!),"")</f>
        <v>#REF!</v>
      </c>
      <c r="AE36" s="712"/>
      <c r="AF36" s="712" t="e">
        <f>IF(AND('Mapa final'!#REF!="Baja",'Mapa final'!#REF!="Mayor"),CONCATENATE("R",'Mapa final'!#REF!),"")</f>
        <v>#REF!</v>
      </c>
      <c r="AG36" s="713"/>
      <c r="AH36" s="702" t="e">
        <f>IF(AND('Mapa final'!#REF!="Baja",'Mapa final'!#REF!="Catastrófico"),CONCATENATE("R",'Mapa final'!#REF!),"")</f>
        <v>#REF!</v>
      </c>
      <c r="AI36" s="703"/>
      <c r="AJ36" s="703" t="e">
        <f>IF(AND('Mapa final'!#REF!="Baja",'Mapa final'!#REF!="Catastrófico"),CONCATENATE("R",'Mapa final'!#REF!),"")</f>
        <v>#REF!</v>
      </c>
      <c r="AK36" s="703"/>
      <c r="AL36" s="703" t="e">
        <f>IF(AND('Mapa final'!#REF!="Baja",'Mapa final'!#REF!="Catastrófico"),CONCATENATE("R",'Mapa final'!#REF!),"")</f>
        <v>#REF!</v>
      </c>
      <c r="AM36" s="704"/>
      <c r="AN36" s="77"/>
      <c r="AO36" s="763"/>
      <c r="AP36" s="764"/>
      <c r="AQ36" s="764"/>
      <c r="AR36" s="764"/>
      <c r="AS36" s="764"/>
      <c r="AT36" s="765"/>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row>
    <row r="37" spans="1:80" ht="15.75" thickBot="1" x14ac:dyDescent="0.3">
      <c r="A37" s="77"/>
      <c r="B37" s="731"/>
      <c r="C37" s="731"/>
      <c r="D37" s="732"/>
      <c r="E37" s="727"/>
      <c r="F37" s="728"/>
      <c r="G37" s="728"/>
      <c r="H37" s="728"/>
      <c r="I37" s="728"/>
      <c r="J37" s="687"/>
      <c r="K37" s="688"/>
      <c r="L37" s="688"/>
      <c r="M37" s="688"/>
      <c r="N37" s="688"/>
      <c r="O37" s="689"/>
      <c r="P37" s="697"/>
      <c r="Q37" s="697"/>
      <c r="R37" s="697"/>
      <c r="S37" s="697"/>
      <c r="T37" s="697"/>
      <c r="U37" s="698"/>
      <c r="V37" s="696"/>
      <c r="W37" s="697"/>
      <c r="X37" s="697"/>
      <c r="Y37" s="697"/>
      <c r="Z37" s="697"/>
      <c r="AA37" s="698"/>
      <c r="AB37" s="714"/>
      <c r="AC37" s="715"/>
      <c r="AD37" s="715"/>
      <c r="AE37" s="715"/>
      <c r="AF37" s="715"/>
      <c r="AG37" s="716"/>
      <c r="AH37" s="705"/>
      <c r="AI37" s="706"/>
      <c r="AJ37" s="706"/>
      <c r="AK37" s="706"/>
      <c r="AL37" s="706"/>
      <c r="AM37" s="707"/>
      <c r="AN37" s="77"/>
      <c r="AO37" s="766"/>
      <c r="AP37" s="767"/>
      <c r="AQ37" s="767"/>
      <c r="AR37" s="767"/>
      <c r="AS37" s="767"/>
      <c r="AT37" s="768"/>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row>
    <row r="38" spans="1:80" x14ac:dyDescent="0.25">
      <c r="A38" s="77"/>
      <c r="B38" s="731"/>
      <c r="C38" s="731"/>
      <c r="D38" s="732"/>
      <c r="E38" s="721" t="s">
        <v>542</v>
      </c>
      <c r="F38" s="722"/>
      <c r="G38" s="722"/>
      <c r="H38" s="722"/>
      <c r="I38" s="723"/>
      <c r="J38" s="690" t="e">
        <f>IF(AND('Mapa final'!#REF!="Muy Baja",'Mapa final'!#REF!="Leve"),CONCATENATE("R",'Mapa final'!#REF!),"")</f>
        <v>#REF!</v>
      </c>
      <c r="K38" s="691"/>
      <c r="L38" s="691" t="e">
        <f>IF(AND('Mapa final'!#REF!="Muy Baja",'Mapa final'!#REF!="Leve"),CONCATENATE("R",'Mapa final'!#REF!),"")</f>
        <v>#REF!</v>
      </c>
      <c r="M38" s="691"/>
      <c r="N38" s="691" t="str">
        <f>IF(AND('Mapa final'!$P$18="Muy Baja",'Mapa final'!$T$18="Leve"),CONCATENATE("R",'Mapa final'!$A$18),"")</f>
        <v/>
      </c>
      <c r="O38" s="692"/>
      <c r="P38" s="690" t="e">
        <f>IF(AND('Mapa final'!#REF!="Muy Baja",'Mapa final'!#REF!="Menor"),CONCATENATE("R",'Mapa final'!#REF!),"")</f>
        <v>#REF!</v>
      </c>
      <c r="Q38" s="691"/>
      <c r="R38" s="691" t="e">
        <f>IF(AND('Mapa final'!#REF!="Muy Baja",'Mapa final'!#REF!="Menor"),CONCATENATE("R",'Mapa final'!#REF!),"")</f>
        <v>#REF!</v>
      </c>
      <c r="S38" s="691"/>
      <c r="T38" s="691" t="str">
        <f>IF(AND('Mapa final'!$P$18="Muy Baja",'Mapa final'!$T$18="Menor"),CONCATENATE("R",'Mapa final'!$A$18),"")</f>
        <v/>
      </c>
      <c r="U38" s="692"/>
      <c r="V38" s="699" t="e">
        <f>IF(AND('Mapa final'!#REF!="Muy Baja",'Mapa final'!#REF!="Moderado"),CONCATENATE("R",'Mapa final'!#REF!),"")</f>
        <v>#REF!</v>
      </c>
      <c r="W38" s="700"/>
      <c r="X38" s="700" t="e">
        <f>IF(AND('Mapa final'!#REF!="Muy Baja",'Mapa final'!#REF!="Moderado"),CONCATENATE("R",'Mapa final'!#REF!),"")</f>
        <v>#REF!</v>
      </c>
      <c r="Y38" s="700"/>
      <c r="Z38" s="700" t="str">
        <f>IF(AND('Mapa final'!$P$18="Muy Baja",'Mapa final'!$T$18="Moderado"),CONCATENATE("R",'Mapa final'!$A$18),"")</f>
        <v/>
      </c>
      <c r="AA38" s="701"/>
      <c r="AB38" s="717" t="e">
        <f>IF(AND('Mapa final'!#REF!="Muy Baja",'Mapa final'!#REF!="Mayor"),CONCATENATE("R",'Mapa final'!#REF!),"")</f>
        <v>#REF!</v>
      </c>
      <c r="AC38" s="718"/>
      <c r="AD38" s="718"/>
      <c r="AE38" s="718"/>
      <c r="AF38" s="718" t="str">
        <f>IF(AND('Mapa final'!$P$18="Muy Baja",'Mapa final'!$T$18="Mayor"),CONCATENATE("R",'Mapa final'!$A$18),"")</f>
        <v/>
      </c>
      <c r="AG38" s="719"/>
      <c r="AH38" s="708" t="e">
        <f>IF(AND('Mapa final'!#REF!="Muy Baja",'Mapa final'!#REF!="Catastrófico"),CONCATENATE("R",'Mapa final'!#REF!),"")</f>
        <v>#REF!</v>
      </c>
      <c r="AI38" s="709"/>
      <c r="AJ38" s="709" t="e">
        <f>IF(AND('Mapa final'!#REF!="Muy Baja",'Mapa final'!#REF!="Catastrófico"),CONCATENATE("R",'Mapa final'!#REF!),"")</f>
        <v>#REF!</v>
      </c>
      <c r="AK38" s="709"/>
      <c r="AL38" s="709" t="str">
        <f>IF(AND('Mapa final'!$P$18="Muy Baja",'Mapa final'!$T$18="Catastrófico"),CONCATENATE("R",'Mapa final'!$A$18),"")</f>
        <v/>
      </c>
      <c r="AM38" s="710"/>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row>
    <row r="39" spans="1:80" x14ac:dyDescent="0.25">
      <c r="A39" s="77"/>
      <c r="B39" s="731"/>
      <c r="C39" s="731"/>
      <c r="D39" s="732"/>
      <c r="E39" s="724"/>
      <c r="F39" s="725"/>
      <c r="G39" s="725"/>
      <c r="H39" s="725"/>
      <c r="I39" s="726"/>
      <c r="J39" s="684"/>
      <c r="K39" s="685"/>
      <c r="L39" s="685"/>
      <c r="M39" s="685"/>
      <c r="N39" s="685"/>
      <c r="O39" s="686"/>
      <c r="P39" s="684"/>
      <c r="Q39" s="685"/>
      <c r="R39" s="685"/>
      <c r="S39" s="685"/>
      <c r="T39" s="685"/>
      <c r="U39" s="686"/>
      <c r="V39" s="693"/>
      <c r="W39" s="694"/>
      <c r="X39" s="694"/>
      <c r="Y39" s="694"/>
      <c r="Z39" s="694"/>
      <c r="AA39" s="695"/>
      <c r="AB39" s="711"/>
      <c r="AC39" s="712"/>
      <c r="AD39" s="712"/>
      <c r="AE39" s="712"/>
      <c r="AF39" s="712"/>
      <c r="AG39" s="713"/>
      <c r="AH39" s="702"/>
      <c r="AI39" s="703"/>
      <c r="AJ39" s="703"/>
      <c r="AK39" s="703"/>
      <c r="AL39" s="703"/>
      <c r="AM39" s="704"/>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row>
    <row r="40" spans="1:80" x14ac:dyDescent="0.25">
      <c r="A40" s="77"/>
      <c r="B40" s="731"/>
      <c r="C40" s="731"/>
      <c r="D40" s="732"/>
      <c r="E40" s="724"/>
      <c r="F40" s="725"/>
      <c r="G40" s="725"/>
      <c r="H40" s="725"/>
      <c r="I40" s="726"/>
      <c r="J40" s="684" t="e">
        <f>IF(AND('Mapa final'!#REF!="Muy Baja",'Mapa final'!#REF!="Leve"),CONCATENATE("R",'Mapa final'!#REF!),"")</f>
        <v>#REF!</v>
      </c>
      <c r="K40" s="685"/>
      <c r="L40" s="685" t="e">
        <f>IF(AND('Mapa final'!#REF!="Muy Baja",'Mapa final'!#REF!="Leve"),CONCATENATE("R",'Mapa final'!#REF!),"")</f>
        <v>#REF!</v>
      </c>
      <c r="M40" s="685"/>
      <c r="N40" s="685" t="str">
        <f>IF(AND('Mapa final'!$P$31="Muy Baja",'Mapa final'!$T$31="Leve"),CONCATENATE("R",'Mapa final'!$A$31),"")</f>
        <v/>
      </c>
      <c r="O40" s="686"/>
      <c r="P40" s="684" t="e">
        <f>IF(AND('Mapa final'!#REF!="Muy Baja",'Mapa final'!#REF!="Menor"),CONCATENATE("R",'Mapa final'!#REF!),"")</f>
        <v>#REF!</v>
      </c>
      <c r="Q40" s="685"/>
      <c r="R40" s="685" t="e">
        <f>IF(AND('Mapa final'!#REF!="Muy Baja",'Mapa final'!#REF!="Menor"),CONCATENATE("R",'Mapa final'!#REF!),"")</f>
        <v>#REF!</v>
      </c>
      <c r="S40" s="685"/>
      <c r="T40" s="685" t="str">
        <f>IF(AND('Mapa final'!$P$31="Muy Baja",'Mapa final'!$T$31="Menor"),CONCATENATE("R",'Mapa final'!$A$31),"")</f>
        <v/>
      </c>
      <c r="U40" s="686"/>
      <c r="V40" s="693" t="e">
        <f>IF(AND('Mapa final'!#REF!="Muy Baja",'Mapa final'!#REF!="Moderado"),CONCATENATE("R",'Mapa final'!#REF!),"")</f>
        <v>#REF!</v>
      </c>
      <c r="W40" s="694"/>
      <c r="X40" s="694" t="e">
        <f>IF(AND('Mapa final'!#REF!="Muy Baja",'Mapa final'!#REF!="Moderado"),CONCATENATE("R",'Mapa final'!#REF!),"")</f>
        <v>#REF!</v>
      </c>
      <c r="Y40" s="694"/>
      <c r="Z40" s="694" t="str">
        <f>IF(AND('Mapa final'!$P$31="Muy Baja",'Mapa final'!$T$31="Moderado"),CONCATENATE("R",'Mapa final'!$A$31),"")</f>
        <v/>
      </c>
      <c r="AA40" s="695"/>
      <c r="AB40" s="711" t="e">
        <f>IF(AND('Mapa final'!#REF!="Muy Baja",'Mapa final'!#REF!="Mayor"),CONCATENATE("R",'Mapa final'!#REF!),"")</f>
        <v>#REF!</v>
      </c>
      <c r="AC40" s="712"/>
      <c r="AD40" s="712" t="e">
        <f>IF(AND('Mapa final'!#REF!="Muy Baja",'Mapa final'!#REF!="Mayor"),CONCATENATE("R",'Mapa final'!#REF!),"")</f>
        <v>#REF!</v>
      </c>
      <c r="AE40" s="712"/>
      <c r="AF40" s="712" t="str">
        <f>IF(AND('Mapa final'!$P$31="Muy Baja",'Mapa final'!$T$31="Mayor"),CONCATENATE("R",'Mapa final'!$A$31),"")</f>
        <v/>
      </c>
      <c r="AG40" s="713"/>
      <c r="AH40" s="702" t="e">
        <f>IF(AND('Mapa final'!#REF!="Muy Baja",'Mapa final'!#REF!="Catastrófico"),CONCATENATE("R",'Mapa final'!#REF!),"")</f>
        <v>#REF!</v>
      </c>
      <c r="AI40" s="703"/>
      <c r="AJ40" s="703" t="e">
        <f>IF(AND('Mapa final'!#REF!="Muy Baja",'Mapa final'!#REF!="Catastrófico"),CONCATENATE("R",'Mapa final'!#REF!),"")</f>
        <v>#REF!</v>
      </c>
      <c r="AK40" s="703"/>
      <c r="AL40" s="703" t="str">
        <f>IF(AND('Mapa final'!$P$31="Muy Baja",'Mapa final'!$T$31="Catastrófico"),CONCATENATE("R",'Mapa final'!$A$31),"")</f>
        <v/>
      </c>
      <c r="AM40" s="704"/>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c r="CB40" s="77"/>
    </row>
    <row r="41" spans="1:80" x14ac:dyDescent="0.25">
      <c r="A41" s="77"/>
      <c r="B41" s="731"/>
      <c r="C41" s="731"/>
      <c r="D41" s="732"/>
      <c r="E41" s="724"/>
      <c r="F41" s="725"/>
      <c r="G41" s="725"/>
      <c r="H41" s="725"/>
      <c r="I41" s="726"/>
      <c r="J41" s="684"/>
      <c r="K41" s="685"/>
      <c r="L41" s="685"/>
      <c r="M41" s="685"/>
      <c r="N41" s="685"/>
      <c r="O41" s="686"/>
      <c r="P41" s="684"/>
      <c r="Q41" s="685"/>
      <c r="R41" s="685"/>
      <c r="S41" s="685"/>
      <c r="T41" s="685"/>
      <c r="U41" s="686"/>
      <c r="V41" s="693"/>
      <c r="W41" s="694"/>
      <c r="X41" s="694"/>
      <c r="Y41" s="694"/>
      <c r="Z41" s="694"/>
      <c r="AA41" s="695"/>
      <c r="AB41" s="711"/>
      <c r="AC41" s="712"/>
      <c r="AD41" s="712"/>
      <c r="AE41" s="712"/>
      <c r="AF41" s="712"/>
      <c r="AG41" s="713"/>
      <c r="AH41" s="702"/>
      <c r="AI41" s="703"/>
      <c r="AJ41" s="703"/>
      <c r="AK41" s="703"/>
      <c r="AL41" s="703"/>
      <c r="AM41" s="704"/>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row>
    <row r="42" spans="1:80" x14ac:dyDescent="0.25">
      <c r="A42" s="77"/>
      <c r="B42" s="731"/>
      <c r="C42" s="731"/>
      <c r="D42" s="732"/>
      <c r="E42" s="724"/>
      <c r="F42" s="725"/>
      <c r="G42" s="725"/>
      <c r="H42" s="725"/>
      <c r="I42" s="726"/>
      <c r="J42" s="684" t="e">
        <f>IF(AND('Mapa final'!#REF!="Muy Baja",'Mapa final'!#REF!="Leve"),CONCATENATE("R",'Mapa final'!#REF!),"")</f>
        <v>#REF!</v>
      </c>
      <c r="K42" s="685"/>
      <c r="L42" s="685" t="e">
        <f>IF(AND('Mapa final'!#REF!="Muy Baja",'Mapa final'!#REF!="Leve"),CONCATENATE("R",'Mapa final'!#REF!),"")</f>
        <v>#REF!</v>
      </c>
      <c r="M42" s="685"/>
      <c r="N42" s="685" t="e">
        <f>IF(AND('Mapa final'!#REF!="Muy Baja",'Mapa final'!#REF!="Leve"),CONCATENATE("R",'Mapa final'!#REF!),"")</f>
        <v>#REF!</v>
      </c>
      <c r="O42" s="686"/>
      <c r="P42" s="684" t="e">
        <f>IF(AND('Mapa final'!#REF!="Muy Baja",'Mapa final'!#REF!="Menor"),CONCATENATE("R",'Mapa final'!#REF!),"")</f>
        <v>#REF!</v>
      </c>
      <c r="Q42" s="685"/>
      <c r="R42" s="685" t="e">
        <f>IF(AND('Mapa final'!#REF!="Muy Baja",'Mapa final'!#REF!="Menor"),CONCATENATE("R",'Mapa final'!#REF!),"")</f>
        <v>#REF!</v>
      </c>
      <c r="S42" s="685"/>
      <c r="T42" s="685" t="e">
        <f>IF(AND('Mapa final'!#REF!="Muy Baja",'Mapa final'!#REF!="Menor"),CONCATENATE("R",'Mapa final'!#REF!),"")</f>
        <v>#REF!</v>
      </c>
      <c r="U42" s="686"/>
      <c r="V42" s="693" t="e">
        <f>IF(AND('Mapa final'!#REF!="Muy Baja",'Mapa final'!#REF!="Moderado"),CONCATENATE("R",'Mapa final'!#REF!),"")</f>
        <v>#REF!</v>
      </c>
      <c r="W42" s="694"/>
      <c r="X42" s="694" t="e">
        <f>IF(AND('Mapa final'!#REF!="Muy Baja",'Mapa final'!#REF!="Moderado"),CONCATENATE("R",'Mapa final'!#REF!),"")</f>
        <v>#REF!</v>
      </c>
      <c r="Y42" s="694"/>
      <c r="Z42" s="694" t="e">
        <f>IF(AND('Mapa final'!#REF!="Muy Baja",'Mapa final'!#REF!="Moderado"),CONCATENATE("R",'Mapa final'!#REF!),"")</f>
        <v>#REF!</v>
      </c>
      <c r="AA42" s="695"/>
      <c r="AB42" s="711" t="e">
        <f>IF(AND('Mapa final'!#REF!="Muy Baja",'Mapa final'!#REF!="Mayor"),CONCATENATE("R",'Mapa final'!#REF!),"")</f>
        <v>#REF!</v>
      </c>
      <c r="AC42" s="712"/>
      <c r="AD42" s="712" t="e">
        <f>IF(AND('Mapa final'!#REF!="Muy Baja",'Mapa final'!#REF!="Mayor"),CONCATENATE("R",'Mapa final'!#REF!),"")</f>
        <v>#REF!</v>
      </c>
      <c r="AE42" s="712"/>
      <c r="AF42" s="712" t="e">
        <f>IF(AND('Mapa final'!#REF!="Muy Baja",'Mapa final'!#REF!="Mayor"),CONCATENATE("R",'Mapa final'!#REF!),"")</f>
        <v>#REF!</v>
      </c>
      <c r="AG42" s="713"/>
      <c r="AH42" s="702" t="e">
        <f>IF(AND('Mapa final'!#REF!="Muy Baja",'Mapa final'!#REF!="Catastrófico"),CONCATENATE("R",'Mapa final'!#REF!),"")</f>
        <v>#REF!</v>
      </c>
      <c r="AI42" s="703"/>
      <c r="AJ42" s="703" t="e">
        <f>IF(AND('Mapa final'!#REF!="Muy Baja",'Mapa final'!#REF!="Catastrófico"),CONCATENATE("R",'Mapa final'!#REF!),"")</f>
        <v>#REF!</v>
      </c>
      <c r="AK42" s="703"/>
      <c r="AL42" s="703" t="e">
        <f>IF(AND('Mapa final'!#REF!="Muy Baja",'Mapa final'!#REF!="Catastrófico"),CONCATENATE("R",'Mapa final'!#REF!),"")</f>
        <v>#REF!</v>
      </c>
      <c r="AM42" s="704"/>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row>
    <row r="43" spans="1:80" x14ac:dyDescent="0.25">
      <c r="A43" s="77"/>
      <c r="B43" s="731"/>
      <c r="C43" s="731"/>
      <c r="D43" s="732"/>
      <c r="E43" s="724"/>
      <c r="F43" s="725"/>
      <c r="G43" s="725"/>
      <c r="H43" s="725"/>
      <c r="I43" s="726"/>
      <c r="J43" s="684"/>
      <c r="K43" s="685"/>
      <c r="L43" s="685"/>
      <c r="M43" s="685"/>
      <c r="N43" s="685"/>
      <c r="O43" s="686"/>
      <c r="P43" s="684"/>
      <c r="Q43" s="685"/>
      <c r="R43" s="685"/>
      <c r="S43" s="685"/>
      <c r="T43" s="685"/>
      <c r="U43" s="686"/>
      <c r="V43" s="693"/>
      <c r="W43" s="694"/>
      <c r="X43" s="694"/>
      <c r="Y43" s="694"/>
      <c r="Z43" s="694"/>
      <c r="AA43" s="695"/>
      <c r="AB43" s="711"/>
      <c r="AC43" s="712"/>
      <c r="AD43" s="712"/>
      <c r="AE43" s="712"/>
      <c r="AF43" s="712"/>
      <c r="AG43" s="713"/>
      <c r="AH43" s="702"/>
      <c r="AI43" s="703"/>
      <c r="AJ43" s="703"/>
      <c r="AK43" s="703"/>
      <c r="AL43" s="703"/>
      <c r="AM43" s="704"/>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row>
    <row r="44" spans="1:80" x14ac:dyDescent="0.25">
      <c r="A44" s="77"/>
      <c r="B44" s="731"/>
      <c r="C44" s="731"/>
      <c r="D44" s="732"/>
      <c r="E44" s="724"/>
      <c r="F44" s="725"/>
      <c r="G44" s="725"/>
      <c r="H44" s="725"/>
      <c r="I44" s="726"/>
      <c r="J44" s="684" t="e">
        <f>IF(AND('Mapa final'!#REF!="Muy Baja",'Mapa final'!#REF!="Leve"),CONCATENATE("R",'Mapa final'!#REF!),"")</f>
        <v>#REF!</v>
      </c>
      <c r="K44" s="685"/>
      <c r="L44" s="685" t="e">
        <f>IF(AND('Mapa final'!#REF!="Muy Baja",'Mapa final'!#REF!="Leve"),CONCATENATE("R",'Mapa final'!#REF!),"")</f>
        <v>#REF!</v>
      </c>
      <c r="M44" s="685"/>
      <c r="N44" s="685" t="e">
        <f>IF(AND('Mapa final'!#REF!="Muy Baja",'Mapa final'!#REF!="Leve"),CONCATENATE("R",'Mapa final'!#REF!),"")</f>
        <v>#REF!</v>
      </c>
      <c r="O44" s="686"/>
      <c r="P44" s="684" t="e">
        <f>IF(AND('Mapa final'!#REF!="Muy Baja",'Mapa final'!#REF!="Menor"),CONCATENATE("R",'Mapa final'!#REF!),"")</f>
        <v>#REF!</v>
      </c>
      <c r="Q44" s="685"/>
      <c r="R44" s="685" t="e">
        <f>IF(AND('Mapa final'!#REF!="Muy Baja",'Mapa final'!#REF!="Menor"),CONCATENATE("R",'Mapa final'!#REF!),"")</f>
        <v>#REF!</v>
      </c>
      <c r="S44" s="685"/>
      <c r="T44" s="685" t="e">
        <f>IF(AND('Mapa final'!#REF!="Muy Baja",'Mapa final'!#REF!="Menor"),CONCATENATE("R",'Mapa final'!#REF!),"")</f>
        <v>#REF!</v>
      </c>
      <c r="U44" s="686"/>
      <c r="V44" s="693" t="e">
        <f>IF(AND('Mapa final'!#REF!="Muy Baja",'Mapa final'!#REF!="Moderado"),CONCATENATE("R",'Mapa final'!#REF!),"")</f>
        <v>#REF!</v>
      </c>
      <c r="W44" s="694"/>
      <c r="X44" s="694" t="e">
        <f>IF(AND('Mapa final'!#REF!="Muy Baja",'Mapa final'!#REF!="Moderado"),CONCATENATE("R",'Mapa final'!#REF!),"")</f>
        <v>#REF!</v>
      </c>
      <c r="Y44" s="694"/>
      <c r="Z44" s="694" t="e">
        <f>IF(AND('Mapa final'!#REF!="Muy Baja",'Mapa final'!#REF!="Moderado"),CONCATENATE("R",'Mapa final'!#REF!),"")</f>
        <v>#REF!</v>
      </c>
      <c r="AA44" s="695"/>
      <c r="AB44" s="711" t="e">
        <f>IF(AND('Mapa final'!#REF!="Muy Baja",'Mapa final'!#REF!="Mayor"),CONCATENATE("R",'Mapa final'!#REF!),"")</f>
        <v>#REF!</v>
      </c>
      <c r="AC44" s="712"/>
      <c r="AD44" s="712" t="e">
        <f>IF(AND('Mapa final'!#REF!="Muy Baja",'Mapa final'!#REF!="Mayor"),CONCATENATE("R",'Mapa final'!#REF!),"")</f>
        <v>#REF!</v>
      </c>
      <c r="AE44" s="712"/>
      <c r="AF44" s="712" t="e">
        <f>IF(AND('Mapa final'!#REF!="Muy Baja",'Mapa final'!#REF!="Mayor"),CONCATENATE("R",'Mapa final'!#REF!),"")</f>
        <v>#REF!</v>
      </c>
      <c r="AG44" s="713"/>
      <c r="AH44" s="702" t="e">
        <f>IF(AND('Mapa final'!#REF!="Muy Baja",'Mapa final'!#REF!="Catastrófico"),CONCATENATE("R",'Mapa final'!#REF!),"")</f>
        <v>#REF!</v>
      </c>
      <c r="AI44" s="703"/>
      <c r="AJ44" s="703" t="e">
        <f>IF(AND('Mapa final'!#REF!="Muy Baja",'Mapa final'!#REF!="Catastrófico"),CONCATENATE("R",'Mapa final'!#REF!),"")</f>
        <v>#REF!</v>
      </c>
      <c r="AK44" s="703"/>
      <c r="AL44" s="703" t="e">
        <f>IF(AND('Mapa final'!#REF!="Muy Baja",'Mapa final'!#REF!="Catastrófico"),CONCATENATE("R",'Mapa final'!#REF!),"")</f>
        <v>#REF!</v>
      </c>
      <c r="AM44" s="704"/>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c r="BY44" s="77"/>
      <c r="BZ44" s="77"/>
      <c r="CA44" s="77"/>
      <c r="CB44" s="77"/>
    </row>
    <row r="45" spans="1:80" ht="15.75" thickBot="1" x14ac:dyDescent="0.3">
      <c r="A45" s="77"/>
      <c r="B45" s="731"/>
      <c r="C45" s="731"/>
      <c r="D45" s="732"/>
      <c r="E45" s="727"/>
      <c r="F45" s="728"/>
      <c r="G45" s="728"/>
      <c r="H45" s="728"/>
      <c r="I45" s="729"/>
      <c r="J45" s="687"/>
      <c r="K45" s="688"/>
      <c r="L45" s="688"/>
      <c r="M45" s="688"/>
      <c r="N45" s="688"/>
      <c r="O45" s="689"/>
      <c r="P45" s="687"/>
      <c r="Q45" s="688"/>
      <c r="R45" s="688"/>
      <c r="S45" s="688"/>
      <c r="T45" s="688"/>
      <c r="U45" s="689"/>
      <c r="V45" s="696"/>
      <c r="W45" s="697"/>
      <c r="X45" s="697"/>
      <c r="Y45" s="697"/>
      <c r="Z45" s="697"/>
      <c r="AA45" s="698"/>
      <c r="AB45" s="714"/>
      <c r="AC45" s="715"/>
      <c r="AD45" s="715"/>
      <c r="AE45" s="715"/>
      <c r="AF45" s="715"/>
      <c r="AG45" s="716"/>
      <c r="AH45" s="705"/>
      <c r="AI45" s="706"/>
      <c r="AJ45" s="706"/>
      <c r="AK45" s="706"/>
      <c r="AL45" s="706"/>
      <c r="AM45" s="70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row>
    <row r="46" spans="1:80" x14ac:dyDescent="0.25">
      <c r="A46" s="77"/>
      <c r="B46" s="77"/>
      <c r="C46" s="77"/>
      <c r="D46" s="77"/>
      <c r="E46" s="77"/>
      <c r="F46" s="77"/>
      <c r="G46" s="77"/>
      <c r="H46" s="77"/>
      <c r="I46" s="77"/>
      <c r="J46" s="721" t="s">
        <v>543</v>
      </c>
      <c r="K46" s="722"/>
      <c r="L46" s="722"/>
      <c r="M46" s="722"/>
      <c r="N46" s="722"/>
      <c r="O46" s="723"/>
      <c r="P46" s="721" t="s">
        <v>544</v>
      </c>
      <c r="Q46" s="722"/>
      <c r="R46" s="722"/>
      <c r="S46" s="722"/>
      <c r="T46" s="722"/>
      <c r="U46" s="723"/>
      <c r="V46" s="721" t="s">
        <v>545</v>
      </c>
      <c r="W46" s="722"/>
      <c r="X46" s="722"/>
      <c r="Y46" s="722"/>
      <c r="Z46" s="722"/>
      <c r="AA46" s="723"/>
      <c r="AB46" s="721" t="s">
        <v>546</v>
      </c>
      <c r="AC46" s="730"/>
      <c r="AD46" s="722"/>
      <c r="AE46" s="722"/>
      <c r="AF46" s="722"/>
      <c r="AG46" s="723"/>
      <c r="AH46" s="721" t="s">
        <v>547</v>
      </c>
      <c r="AI46" s="722"/>
      <c r="AJ46" s="722"/>
      <c r="AK46" s="722"/>
      <c r="AL46" s="722"/>
      <c r="AM46" s="723"/>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row>
    <row r="47" spans="1:80" x14ac:dyDescent="0.25">
      <c r="A47" s="77"/>
      <c r="B47" s="77"/>
      <c r="C47" s="77"/>
      <c r="D47" s="77"/>
      <c r="E47" s="77"/>
      <c r="F47" s="77"/>
      <c r="G47" s="77"/>
      <c r="H47" s="77"/>
      <c r="I47" s="77"/>
      <c r="J47" s="724"/>
      <c r="K47" s="725"/>
      <c r="L47" s="725"/>
      <c r="M47" s="725"/>
      <c r="N47" s="725"/>
      <c r="O47" s="726"/>
      <c r="P47" s="724"/>
      <c r="Q47" s="725"/>
      <c r="R47" s="725"/>
      <c r="S47" s="725"/>
      <c r="T47" s="725"/>
      <c r="U47" s="726"/>
      <c r="V47" s="724"/>
      <c r="W47" s="725"/>
      <c r="X47" s="725"/>
      <c r="Y47" s="725"/>
      <c r="Z47" s="725"/>
      <c r="AA47" s="726"/>
      <c r="AB47" s="724"/>
      <c r="AC47" s="725"/>
      <c r="AD47" s="725"/>
      <c r="AE47" s="725"/>
      <c r="AF47" s="725"/>
      <c r="AG47" s="726"/>
      <c r="AH47" s="724"/>
      <c r="AI47" s="725"/>
      <c r="AJ47" s="725"/>
      <c r="AK47" s="725"/>
      <c r="AL47" s="725"/>
      <c r="AM47" s="726"/>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row>
    <row r="48" spans="1:80" x14ac:dyDescent="0.25">
      <c r="A48" s="77"/>
      <c r="B48" s="77"/>
      <c r="C48" s="77"/>
      <c r="D48" s="77"/>
      <c r="E48" s="77"/>
      <c r="F48" s="77"/>
      <c r="G48" s="77"/>
      <c r="H48" s="77"/>
      <c r="I48" s="77"/>
      <c r="J48" s="724"/>
      <c r="K48" s="725"/>
      <c r="L48" s="725"/>
      <c r="M48" s="725"/>
      <c r="N48" s="725"/>
      <c r="O48" s="726"/>
      <c r="P48" s="724"/>
      <c r="Q48" s="725"/>
      <c r="R48" s="725"/>
      <c r="S48" s="725"/>
      <c r="T48" s="725"/>
      <c r="U48" s="726"/>
      <c r="V48" s="724"/>
      <c r="W48" s="725"/>
      <c r="X48" s="725"/>
      <c r="Y48" s="725"/>
      <c r="Z48" s="725"/>
      <c r="AA48" s="726"/>
      <c r="AB48" s="724"/>
      <c r="AC48" s="725"/>
      <c r="AD48" s="725"/>
      <c r="AE48" s="725"/>
      <c r="AF48" s="725"/>
      <c r="AG48" s="726"/>
      <c r="AH48" s="724"/>
      <c r="AI48" s="725"/>
      <c r="AJ48" s="725"/>
      <c r="AK48" s="725"/>
      <c r="AL48" s="725"/>
      <c r="AM48" s="726"/>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row>
    <row r="49" spans="1:80" x14ac:dyDescent="0.25">
      <c r="A49" s="77"/>
      <c r="B49" s="77"/>
      <c r="C49" s="77"/>
      <c r="D49" s="77"/>
      <c r="E49" s="77"/>
      <c r="F49" s="77"/>
      <c r="G49" s="77"/>
      <c r="H49" s="77"/>
      <c r="I49" s="77"/>
      <c r="J49" s="724"/>
      <c r="K49" s="725"/>
      <c r="L49" s="725"/>
      <c r="M49" s="725"/>
      <c r="N49" s="725"/>
      <c r="O49" s="726"/>
      <c r="P49" s="724"/>
      <c r="Q49" s="725"/>
      <c r="R49" s="725"/>
      <c r="S49" s="725"/>
      <c r="T49" s="725"/>
      <c r="U49" s="726"/>
      <c r="V49" s="724"/>
      <c r="W49" s="725"/>
      <c r="X49" s="725"/>
      <c r="Y49" s="725"/>
      <c r="Z49" s="725"/>
      <c r="AA49" s="726"/>
      <c r="AB49" s="724"/>
      <c r="AC49" s="725"/>
      <c r="AD49" s="725"/>
      <c r="AE49" s="725"/>
      <c r="AF49" s="725"/>
      <c r="AG49" s="726"/>
      <c r="AH49" s="724"/>
      <c r="AI49" s="725"/>
      <c r="AJ49" s="725"/>
      <c r="AK49" s="725"/>
      <c r="AL49" s="725"/>
      <c r="AM49" s="726"/>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row>
    <row r="50" spans="1:80" x14ac:dyDescent="0.25">
      <c r="A50" s="77"/>
      <c r="B50" s="77"/>
      <c r="C50" s="77"/>
      <c r="D50" s="77"/>
      <c r="E50" s="77"/>
      <c r="F50" s="77"/>
      <c r="G50" s="77"/>
      <c r="H50" s="77"/>
      <c r="I50" s="77"/>
      <c r="J50" s="724"/>
      <c r="K50" s="725"/>
      <c r="L50" s="725"/>
      <c r="M50" s="725"/>
      <c r="N50" s="725"/>
      <c r="O50" s="726"/>
      <c r="P50" s="724"/>
      <c r="Q50" s="725"/>
      <c r="R50" s="725"/>
      <c r="S50" s="725"/>
      <c r="T50" s="725"/>
      <c r="U50" s="726"/>
      <c r="V50" s="724"/>
      <c r="W50" s="725"/>
      <c r="X50" s="725"/>
      <c r="Y50" s="725"/>
      <c r="Z50" s="725"/>
      <c r="AA50" s="726"/>
      <c r="AB50" s="724"/>
      <c r="AC50" s="725"/>
      <c r="AD50" s="725"/>
      <c r="AE50" s="725"/>
      <c r="AF50" s="725"/>
      <c r="AG50" s="726"/>
      <c r="AH50" s="724"/>
      <c r="AI50" s="725"/>
      <c r="AJ50" s="725"/>
      <c r="AK50" s="725"/>
      <c r="AL50" s="725"/>
      <c r="AM50" s="726"/>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row>
    <row r="51" spans="1:80" ht="15.75" thickBot="1" x14ac:dyDescent="0.3">
      <c r="A51" s="77"/>
      <c r="B51" s="77"/>
      <c r="C51" s="77"/>
      <c r="D51" s="77"/>
      <c r="E51" s="77"/>
      <c r="F51" s="77"/>
      <c r="G51" s="77"/>
      <c r="H51" s="77"/>
      <c r="I51" s="77"/>
      <c r="J51" s="727"/>
      <c r="K51" s="728"/>
      <c r="L51" s="728"/>
      <c r="M51" s="728"/>
      <c r="N51" s="728"/>
      <c r="O51" s="729"/>
      <c r="P51" s="727"/>
      <c r="Q51" s="728"/>
      <c r="R51" s="728"/>
      <c r="S51" s="728"/>
      <c r="T51" s="728"/>
      <c r="U51" s="729"/>
      <c r="V51" s="727"/>
      <c r="W51" s="728"/>
      <c r="X51" s="728"/>
      <c r="Y51" s="728"/>
      <c r="Z51" s="728"/>
      <c r="AA51" s="729"/>
      <c r="AB51" s="727"/>
      <c r="AC51" s="728"/>
      <c r="AD51" s="728"/>
      <c r="AE51" s="728"/>
      <c r="AF51" s="728"/>
      <c r="AG51" s="729"/>
      <c r="AH51" s="727"/>
      <c r="AI51" s="728"/>
      <c r="AJ51" s="728"/>
      <c r="AK51" s="728"/>
      <c r="AL51" s="728"/>
      <c r="AM51" s="729"/>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row>
    <row r="52" spans="1:80" x14ac:dyDescent="0.25">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row>
    <row r="53" spans="1:80" ht="15" customHeight="1" x14ac:dyDescent="0.25">
      <c r="A53" s="77"/>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row>
    <row r="54" spans="1:80" ht="15" customHeight="1" x14ac:dyDescent="0.25">
      <c r="A54" s="77"/>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row>
    <row r="55" spans="1:80" x14ac:dyDescent="0.25">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row>
    <row r="56" spans="1:80" x14ac:dyDescent="0.25">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row>
    <row r="57" spans="1:80" x14ac:dyDescent="0.25">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row>
    <row r="58" spans="1:80" x14ac:dyDescent="0.25">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row>
    <row r="59" spans="1:80" x14ac:dyDescent="0.25">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row>
    <row r="60" spans="1:80" x14ac:dyDescent="0.25">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row>
    <row r="61" spans="1:80" x14ac:dyDescent="0.25">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row>
    <row r="62" spans="1:80" x14ac:dyDescent="0.25">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row>
    <row r="63" spans="1:80" x14ac:dyDescent="0.25">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row>
    <row r="64" spans="1:80" x14ac:dyDescent="0.25">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row>
    <row r="65" spans="1:80" x14ac:dyDescent="0.25">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row>
    <row r="66" spans="1:80" x14ac:dyDescent="0.25">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row>
    <row r="67" spans="1:80" x14ac:dyDescent="0.25">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row>
    <row r="68" spans="1:80" x14ac:dyDescent="0.25">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7"/>
      <c r="CB68" s="77"/>
    </row>
    <row r="69" spans="1:80" x14ac:dyDescent="0.25">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7"/>
      <c r="BR69" s="77"/>
      <c r="BS69" s="77"/>
      <c r="BT69" s="77"/>
      <c r="BU69" s="77"/>
      <c r="BV69" s="77"/>
      <c r="BW69" s="77"/>
      <c r="BX69" s="77"/>
      <c r="BY69" s="77"/>
      <c r="BZ69" s="77"/>
      <c r="CA69" s="77"/>
      <c r="CB69" s="77"/>
    </row>
    <row r="70" spans="1:80" x14ac:dyDescent="0.25">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c r="BT70" s="77"/>
      <c r="BU70" s="77"/>
      <c r="BV70" s="77"/>
      <c r="BW70" s="77"/>
      <c r="BX70" s="77"/>
      <c r="BY70" s="77"/>
      <c r="BZ70" s="77"/>
      <c r="CA70" s="77"/>
      <c r="CB70" s="77"/>
    </row>
    <row r="71" spans="1:80"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77"/>
      <c r="BY71" s="77"/>
      <c r="BZ71" s="77"/>
      <c r="CA71" s="77"/>
      <c r="CB71" s="77"/>
    </row>
    <row r="72" spans="1:80"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row>
    <row r="73" spans="1:80"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77"/>
      <c r="BY73" s="77"/>
      <c r="BZ73" s="77"/>
      <c r="CA73" s="77"/>
      <c r="CB73" s="77"/>
    </row>
    <row r="74" spans="1:80"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7"/>
      <c r="BY74" s="77"/>
      <c r="BZ74" s="77"/>
      <c r="CA74" s="77"/>
      <c r="CB74" s="77"/>
    </row>
    <row r="75" spans="1:80"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77"/>
      <c r="BU75" s="77"/>
      <c r="BV75" s="77"/>
      <c r="BW75" s="77"/>
      <c r="BX75" s="77"/>
      <c r="BY75" s="77"/>
      <c r="BZ75" s="77"/>
      <c r="CA75" s="77"/>
      <c r="CB75" s="77"/>
    </row>
    <row r="76" spans="1:80"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row>
    <row r="77" spans="1:80"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row>
    <row r="78" spans="1:80" x14ac:dyDescent="0.25">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row>
    <row r="79" spans="1:80"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row>
    <row r="80" spans="1:80"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row>
    <row r="81" spans="1:63"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row>
    <row r="82" spans="1:63"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row>
    <row r="83" spans="1:63"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row>
    <row r="84" spans="1:63"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77"/>
    </row>
    <row r="85" spans="1:63"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c r="BJ85" s="77"/>
      <c r="BK85" s="77"/>
    </row>
    <row r="86" spans="1:63"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77"/>
      <c r="BK86" s="77"/>
    </row>
    <row r="87" spans="1:63"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row>
    <row r="88" spans="1:63"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row>
    <row r="89" spans="1:63"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row>
    <row r="90" spans="1:63"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row>
    <row r="91" spans="1:63"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row>
    <row r="92" spans="1:63"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row>
    <row r="93" spans="1:63"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row>
    <row r="94" spans="1:63" x14ac:dyDescent="0.25">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row>
    <row r="95" spans="1:63"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row>
    <row r="96" spans="1:63"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row>
    <row r="97" spans="1:63" x14ac:dyDescent="0.25">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row>
    <row r="98" spans="1:63" x14ac:dyDescent="0.25">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row>
    <row r="99" spans="1:63" x14ac:dyDescent="0.25">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row>
    <row r="100" spans="1:63" x14ac:dyDescent="0.25">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row>
    <row r="101" spans="1:63" x14ac:dyDescent="0.25">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row>
    <row r="102" spans="1:63" x14ac:dyDescent="0.25">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row>
    <row r="103" spans="1:63" x14ac:dyDescent="0.25">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row>
    <row r="104" spans="1:63" x14ac:dyDescent="0.25">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row>
    <row r="105" spans="1:63" x14ac:dyDescent="0.25">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row>
    <row r="106" spans="1:63" x14ac:dyDescent="0.25">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row>
    <row r="107" spans="1:63" x14ac:dyDescent="0.25">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row>
    <row r="108" spans="1:63" x14ac:dyDescent="0.25">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row>
    <row r="109" spans="1:63" x14ac:dyDescent="0.25">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c r="BI109" s="77"/>
      <c r="BJ109" s="77"/>
      <c r="BK109" s="77"/>
    </row>
    <row r="110" spans="1:63" x14ac:dyDescent="0.25">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c r="BH110" s="77"/>
      <c r="BI110" s="77"/>
      <c r="BJ110" s="77"/>
      <c r="BK110" s="77"/>
    </row>
    <row r="111" spans="1:63" x14ac:dyDescent="0.25">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c r="BH111" s="77"/>
      <c r="BI111" s="77"/>
      <c r="BJ111" s="77"/>
      <c r="BK111" s="77"/>
    </row>
    <row r="112" spans="1:63" x14ac:dyDescent="0.25">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c r="BI112" s="77"/>
      <c r="BJ112" s="77"/>
      <c r="BK112" s="77"/>
    </row>
    <row r="113" spans="1:63" x14ac:dyDescent="0.25">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c r="BF113" s="77"/>
      <c r="BG113" s="77"/>
      <c r="BH113" s="77"/>
      <c r="BI113" s="77"/>
      <c r="BJ113" s="77"/>
      <c r="BK113" s="77"/>
    </row>
    <row r="114" spans="1:63" x14ac:dyDescent="0.25">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c r="BH114" s="77"/>
      <c r="BI114" s="77"/>
      <c r="BJ114" s="77"/>
      <c r="BK114" s="77"/>
    </row>
    <row r="115" spans="1:63" x14ac:dyDescent="0.25">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c r="BH115" s="77"/>
      <c r="BI115" s="77"/>
      <c r="BJ115" s="77"/>
      <c r="BK115" s="77"/>
    </row>
    <row r="116" spans="1:63" x14ac:dyDescent="0.25">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c r="BF116" s="77"/>
      <c r="BG116" s="77"/>
      <c r="BH116" s="77"/>
      <c r="BI116" s="77"/>
      <c r="BJ116" s="77"/>
      <c r="BK116" s="77"/>
    </row>
    <row r="117" spans="1:63" x14ac:dyDescent="0.25">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c r="BF117" s="77"/>
      <c r="BG117" s="77"/>
      <c r="BH117" s="77"/>
      <c r="BI117" s="77"/>
      <c r="BJ117" s="77"/>
      <c r="BK117" s="77"/>
    </row>
    <row r="118" spans="1:63" x14ac:dyDescent="0.25">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c r="BJ118" s="77"/>
      <c r="BK118" s="77"/>
    </row>
    <row r="119" spans="1:63" x14ac:dyDescent="0.25">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c r="BF119" s="77"/>
      <c r="BG119" s="77"/>
      <c r="BH119" s="77"/>
      <c r="BI119" s="77"/>
      <c r="BJ119" s="77"/>
      <c r="BK119" s="77"/>
    </row>
    <row r="120" spans="1:63" x14ac:dyDescent="0.25">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c r="BF120" s="77"/>
      <c r="BG120" s="77"/>
      <c r="BH120" s="77"/>
      <c r="BI120" s="77"/>
      <c r="BJ120" s="77"/>
      <c r="BK120" s="77"/>
    </row>
    <row r="121" spans="1:63" x14ac:dyDescent="0.25">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7"/>
      <c r="BH121" s="77"/>
      <c r="BI121" s="77"/>
      <c r="BJ121" s="77"/>
      <c r="BK121" s="77"/>
    </row>
    <row r="122" spans="1:63" x14ac:dyDescent="0.25">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c r="BJ122" s="77"/>
      <c r="BK122" s="77"/>
    </row>
    <row r="123" spans="1:63" x14ac:dyDescent="0.25">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c r="BH123" s="77"/>
      <c r="BI123" s="77"/>
      <c r="BJ123" s="77"/>
      <c r="BK123" s="77"/>
    </row>
    <row r="124" spans="1:63" x14ac:dyDescent="0.25">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c r="BJ124" s="77"/>
      <c r="BK124" s="77"/>
    </row>
    <row r="125" spans="1:63" x14ac:dyDescent="0.25">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c r="BF125" s="77"/>
      <c r="BG125" s="77"/>
      <c r="BH125" s="77"/>
      <c r="BI125" s="77"/>
      <c r="BJ125" s="77"/>
      <c r="BK125" s="77"/>
    </row>
    <row r="126" spans="1:63" x14ac:dyDescent="0.25">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c r="BI126" s="77"/>
      <c r="BJ126" s="77"/>
      <c r="BK126" s="77"/>
    </row>
    <row r="127" spans="1:63" x14ac:dyDescent="0.25">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c r="BC127" s="77"/>
      <c r="BD127" s="77"/>
      <c r="BE127" s="77"/>
      <c r="BF127" s="77"/>
      <c r="BG127" s="77"/>
      <c r="BH127" s="77"/>
      <c r="BI127" s="77"/>
      <c r="BJ127" s="77"/>
      <c r="BK127" s="77"/>
    </row>
    <row r="128" spans="1:63" x14ac:dyDescent="0.25">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c r="BF128" s="77"/>
      <c r="BG128" s="77"/>
      <c r="BH128" s="77"/>
      <c r="BI128" s="77"/>
      <c r="BJ128" s="77"/>
      <c r="BK128" s="77"/>
    </row>
    <row r="129" spans="2:63" x14ac:dyDescent="0.25">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c r="BF129" s="77"/>
      <c r="BG129" s="77"/>
      <c r="BH129" s="77"/>
      <c r="BI129" s="77"/>
      <c r="BJ129" s="77"/>
      <c r="BK129" s="77"/>
    </row>
    <row r="130" spans="2:63" x14ac:dyDescent="0.25">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G130" s="77"/>
      <c r="BH130" s="77"/>
      <c r="BI130" s="77"/>
      <c r="BJ130" s="77"/>
      <c r="BK130" s="77"/>
    </row>
    <row r="131" spans="2:63" x14ac:dyDescent="0.25">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c r="BF131" s="77"/>
      <c r="BG131" s="77"/>
      <c r="BH131" s="77"/>
      <c r="BI131" s="77"/>
      <c r="BJ131" s="77"/>
      <c r="BK131" s="77"/>
    </row>
    <row r="132" spans="2:63" x14ac:dyDescent="0.25">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c r="BF132" s="77"/>
      <c r="BG132" s="77"/>
      <c r="BH132" s="77"/>
      <c r="BI132" s="77"/>
      <c r="BJ132" s="77"/>
      <c r="BK132" s="77"/>
    </row>
    <row r="133" spans="2:63" x14ac:dyDescent="0.25">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c r="BF133" s="77"/>
      <c r="BG133" s="77"/>
      <c r="BH133" s="77"/>
      <c r="BI133" s="77"/>
      <c r="BJ133" s="77"/>
      <c r="BK133" s="77"/>
    </row>
    <row r="134" spans="2:63" x14ac:dyDescent="0.25">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77"/>
      <c r="BH134" s="77"/>
      <c r="BI134" s="77"/>
      <c r="BJ134" s="77"/>
      <c r="BK134" s="77"/>
    </row>
    <row r="135" spans="2:63" x14ac:dyDescent="0.25">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77"/>
      <c r="BG135" s="77"/>
      <c r="BH135" s="77"/>
      <c r="BI135" s="77"/>
      <c r="BJ135" s="77"/>
      <c r="BK135" s="77"/>
    </row>
    <row r="136" spans="2:63" x14ac:dyDescent="0.25">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77"/>
      <c r="BI136" s="77"/>
      <c r="BJ136" s="77"/>
      <c r="BK136" s="77"/>
    </row>
    <row r="137" spans="2:63" x14ac:dyDescent="0.25">
      <c r="B137" s="77"/>
      <c r="C137" s="77"/>
      <c r="D137" s="77"/>
      <c r="E137" s="77"/>
      <c r="F137" s="77"/>
      <c r="G137" s="77"/>
      <c r="H137" s="77"/>
      <c r="I137" s="77"/>
    </row>
    <row r="138" spans="2:63" x14ac:dyDescent="0.25">
      <c r="B138" s="77"/>
      <c r="C138" s="77"/>
      <c r="D138" s="77"/>
      <c r="E138" s="77"/>
      <c r="F138" s="77"/>
      <c r="G138" s="77"/>
      <c r="H138" s="77"/>
      <c r="I138" s="77"/>
    </row>
    <row r="139" spans="2:63" x14ac:dyDescent="0.25">
      <c r="B139" s="77"/>
      <c r="C139" s="77"/>
      <c r="D139" s="77"/>
      <c r="E139" s="77"/>
      <c r="F139" s="77"/>
      <c r="G139" s="77"/>
      <c r="H139" s="77"/>
      <c r="I139" s="77"/>
    </row>
    <row r="140" spans="2:63" x14ac:dyDescent="0.25">
      <c r="B140" s="77"/>
      <c r="C140" s="77"/>
      <c r="D140" s="77"/>
      <c r="E140" s="77"/>
      <c r="F140" s="77"/>
      <c r="G140" s="77"/>
      <c r="H140" s="77"/>
      <c r="I140" s="77"/>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7" zoomScale="75" zoomScaleNormal="50" workbookViewId="0">
      <selection activeCell="W39" sqref="W39"/>
    </sheetView>
  </sheetViews>
  <sheetFormatPr baseColWidth="10" defaultColWidth="11.42578125"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row>
    <row r="2" spans="1:91" ht="18" customHeight="1" x14ac:dyDescent="0.25">
      <c r="A2" s="77"/>
      <c r="B2" s="798" t="s">
        <v>548</v>
      </c>
      <c r="C2" s="799"/>
      <c r="D2" s="799"/>
      <c r="E2" s="799"/>
      <c r="F2" s="799"/>
      <c r="G2" s="799"/>
      <c r="H2" s="799"/>
      <c r="I2" s="799"/>
      <c r="J2" s="720" t="s">
        <v>249</v>
      </c>
      <c r="K2" s="720"/>
      <c r="L2" s="720"/>
      <c r="M2" s="720"/>
      <c r="N2" s="720"/>
      <c r="O2" s="720"/>
      <c r="P2" s="720"/>
      <c r="Q2" s="720"/>
      <c r="R2" s="720"/>
      <c r="S2" s="720"/>
      <c r="T2" s="720"/>
      <c r="U2" s="720"/>
      <c r="V2" s="720"/>
      <c r="W2" s="720"/>
      <c r="X2" s="720"/>
      <c r="Y2" s="720"/>
      <c r="Z2" s="720"/>
      <c r="AA2" s="720"/>
      <c r="AB2" s="720"/>
      <c r="AC2" s="720"/>
      <c r="AD2" s="720"/>
      <c r="AE2" s="720"/>
      <c r="AF2" s="720"/>
      <c r="AG2" s="720"/>
      <c r="AH2" s="720"/>
      <c r="AI2" s="720"/>
      <c r="AJ2" s="720"/>
      <c r="AK2" s="720"/>
      <c r="AL2" s="720"/>
      <c r="AM2" s="720"/>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row>
    <row r="3" spans="1:91" ht="18.75" customHeight="1" x14ac:dyDescent="0.25">
      <c r="A3" s="77"/>
      <c r="B3" s="799"/>
      <c r="C3" s="799"/>
      <c r="D3" s="799"/>
      <c r="E3" s="799"/>
      <c r="F3" s="799"/>
      <c r="G3" s="799"/>
      <c r="H3" s="799"/>
      <c r="I3" s="799"/>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c r="AL3" s="720"/>
      <c r="AM3" s="720"/>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row>
    <row r="4" spans="1:91" ht="15" customHeight="1" x14ac:dyDescent="0.25">
      <c r="A4" s="77"/>
      <c r="B4" s="799"/>
      <c r="C4" s="799"/>
      <c r="D4" s="799"/>
      <c r="E4" s="799"/>
      <c r="F4" s="799"/>
      <c r="G4" s="799"/>
      <c r="H4" s="799"/>
      <c r="I4" s="799"/>
      <c r="J4" s="720"/>
      <c r="K4" s="720"/>
      <c r="L4" s="720"/>
      <c r="M4" s="720"/>
      <c r="N4" s="720"/>
      <c r="O4" s="720"/>
      <c r="P4" s="720"/>
      <c r="Q4" s="720"/>
      <c r="R4" s="720"/>
      <c r="S4" s="720"/>
      <c r="T4" s="720"/>
      <c r="U4" s="720"/>
      <c r="V4" s="720"/>
      <c r="W4" s="720"/>
      <c r="X4" s="720"/>
      <c r="Y4" s="720"/>
      <c r="Z4" s="720"/>
      <c r="AA4" s="720"/>
      <c r="AB4" s="720"/>
      <c r="AC4" s="720"/>
      <c r="AD4" s="720"/>
      <c r="AE4" s="720"/>
      <c r="AF4" s="720"/>
      <c r="AG4" s="720"/>
      <c r="AH4" s="720"/>
      <c r="AI4" s="720"/>
      <c r="AJ4" s="720"/>
      <c r="AK4" s="720"/>
      <c r="AL4" s="720"/>
      <c r="AM4" s="720"/>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row>
    <row r="5" spans="1:91" ht="15.75" thickBot="1" x14ac:dyDescent="0.3">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row>
    <row r="6" spans="1:91" ht="15" customHeight="1" x14ac:dyDescent="0.25">
      <c r="A6" s="77"/>
      <c r="B6" s="731" t="s">
        <v>471</v>
      </c>
      <c r="C6" s="731"/>
      <c r="D6" s="732"/>
      <c r="E6" s="769" t="s">
        <v>536</v>
      </c>
      <c r="F6" s="770"/>
      <c r="G6" s="770"/>
      <c r="H6" s="770"/>
      <c r="I6" s="771"/>
      <c r="J6" s="40" t="e">
        <f>IF(AND('Mapa final'!#REF!="Muy Alta",'Mapa final'!#REF!="Leve"),CONCATENATE("R1C",'Mapa final'!#REF!),"")</f>
        <v>#REF!</v>
      </c>
      <c r="K6" s="41" t="e">
        <f>IF(AND('Mapa final'!#REF!="Muy Alta",'Mapa final'!#REF!="Leve"),CONCATENATE("R1C",'Mapa final'!#REF!),"")</f>
        <v>#REF!</v>
      </c>
      <c r="L6" s="41" t="e">
        <f>IF(AND('Mapa final'!#REF!="Muy Alta",'Mapa final'!#REF!="Leve"),CONCATENATE("R1C",'Mapa final'!#REF!),"")</f>
        <v>#REF!</v>
      </c>
      <c r="M6" s="41" t="e">
        <f>IF(AND('Mapa final'!#REF!="Muy Alta",'Mapa final'!#REF!="Leve"),CONCATENATE("R1C",'Mapa final'!#REF!),"")</f>
        <v>#REF!</v>
      </c>
      <c r="N6" s="41" t="e">
        <f>IF(AND('Mapa final'!#REF!="Muy Alta",'Mapa final'!#REF!="Leve"),CONCATENATE("R1C",'Mapa final'!#REF!),"")</f>
        <v>#REF!</v>
      </c>
      <c r="O6" s="42" t="e">
        <f>IF(AND('Mapa final'!#REF!="Muy Alta",'Mapa final'!#REF!="Leve"),CONCATENATE("R1C",'Mapa final'!#REF!),"")</f>
        <v>#REF!</v>
      </c>
      <c r="P6" s="40" t="e">
        <f>IF(AND('Mapa final'!#REF!="Muy Alta",'Mapa final'!#REF!="Menor"),CONCATENATE("R1C",'Mapa final'!#REF!),"")</f>
        <v>#REF!</v>
      </c>
      <c r="Q6" s="41" t="e">
        <f>IF(AND('Mapa final'!#REF!="Muy Alta",'Mapa final'!#REF!="Menor"),CONCATENATE("R1C",'Mapa final'!#REF!),"")</f>
        <v>#REF!</v>
      </c>
      <c r="R6" s="41" t="e">
        <f>IF(AND('Mapa final'!#REF!="Muy Alta",'Mapa final'!#REF!="Menor"),CONCATENATE("R1C",'Mapa final'!#REF!),"")</f>
        <v>#REF!</v>
      </c>
      <c r="S6" s="41" t="e">
        <f>IF(AND('Mapa final'!#REF!="Muy Alta",'Mapa final'!#REF!="Menor"),CONCATENATE("R1C",'Mapa final'!#REF!),"")</f>
        <v>#REF!</v>
      </c>
      <c r="T6" s="41" t="e">
        <f>IF(AND('Mapa final'!#REF!="Muy Alta",'Mapa final'!#REF!="Menor"),CONCATENATE("R1C",'Mapa final'!#REF!),"")</f>
        <v>#REF!</v>
      </c>
      <c r="U6" s="42" t="e">
        <f>IF(AND('Mapa final'!#REF!="Muy Alta",'Mapa final'!#REF!="Menor"),CONCATENATE("R1C",'Mapa final'!#REF!),"")</f>
        <v>#REF!</v>
      </c>
      <c r="V6" s="40" t="e">
        <f>IF(AND('Mapa final'!#REF!="Muy Alta",'Mapa final'!#REF!="Moderado"),CONCATENATE("R1C",'Mapa final'!#REF!),"")</f>
        <v>#REF!</v>
      </c>
      <c r="W6" s="41" t="e">
        <f>IF(AND('Mapa final'!#REF!="Muy Alta",'Mapa final'!#REF!="Moderado"),CONCATENATE("R1C",'Mapa final'!#REF!),"")</f>
        <v>#REF!</v>
      </c>
      <c r="X6" s="41" t="e">
        <f>IF(AND('Mapa final'!#REF!="Muy Alta",'Mapa final'!#REF!="Moderado"),CONCATENATE("R1C",'Mapa final'!#REF!),"")</f>
        <v>#REF!</v>
      </c>
      <c r="Y6" s="41" t="e">
        <f>IF(AND('Mapa final'!#REF!="Muy Alta",'Mapa final'!#REF!="Moderado"),CONCATENATE("R1C",'Mapa final'!#REF!),"")</f>
        <v>#REF!</v>
      </c>
      <c r="Z6" s="41" t="e">
        <f>IF(AND('Mapa final'!#REF!="Muy Alta",'Mapa final'!#REF!="Moderado"),CONCATENATE("R1C",'Mapa final'!#REF!),"")</f>
        <v>#REF!</v>
      </c>
      <c r="AA6" s="42" t="e">
        <f>IF(AND('Mapa final'!#REF!="Muy Alta",'Mapa final'!#REF!="Moderado"),CONCATENATE("R1C",'Mapa final'!#REF!),"")</f>
        <v>#REF!</v>
      </c>
      <c r="AB6" s="40" t="e">
        <f>IF(AND('Mapa final'!#REF!="Muy Alta",'Mapa final'!#REF!="Mayor"),CONCATENATE("R1C",'Mapa final'!#REF!),"")</f>
        <v>#REF!</v>
      </c>
      <c r="AC6" s="41" t="e">
        <f>IF(AND('Mapa final'!#REF!="Muy Alta",'Mapa final'!#REF!="Mayor"),CONCATENATE("R1C",'Mapa final'!#REF!),"")</f>
        <v>#REF!</v>
      </c>
      <c r="AD6" s="41" t="e">
        <f>IF(AND('Mapa final'!#REF!="Muy Alta",'Mapa final'!#REF!="Mayor"),CONCATENATE("R1C",'Mapa final'!#REF!),"")</f>
        <v>#REF!</v>
      </c>
      <c r="AE6" s="41" t="e">
        <f>IF(AND('Mapa final'!#REF!="Muy Alta",'Mapa final'!#REF!="Mayor"),CONCATENATE("R1C",'Mapa final'!#REF!),"")</f>
        <v>#REF!</v>
      </c>
      <c r="AF6" s="41" t="e">
        <f>IF(AND('Mapa final'!#REF!="Muy Alta",'Mapa final'!#REF!="Mayor"),CONCATENATE("R1C",'Mapa final'!#REF!),"")</f>
        <v>#REF!</v>
      </c>
      <c r="AG6" s="42" t="e">
        <f>IF(AND('Mapa final'!#REF!="Muy Alta",'Mapa final'!#REF!="Mayor"),CONCATENATE("R1C",'Mapa final'!#REF!),"")</f>
        <v>#REF!</v>
      </c>
      <c r="AH6" s="43" t="e">
        <f>IF(AND('Mapa final'!#REF!="Muy Alta",'Mapa final'!#REF!="Catastrófico"),CONCATENATE("R1C",'Mapa final'!#REF!),"")</f>
        <v>#REF!</v>
      </c>
      <c r="AI6" s="44" t="e">
        <f>IF(AND('Mapa final'!#REF!="Muy Alta",'Mapa final'!#REF!="Catastrófico"),CONCATENATE("R1C",'Mapa final'!#REF!),"")</f>
        <v>#REF!</v>
      </c>
      <c r="AJ6" s="44" t="e">
        <f>IF(AND('Mapa final'!#REF!="Muy Alta",'Mapa final'!#REF!="Catastrófico"),CONCATENATE("R1C",'Mapa final'!#REF!),"")</f>
        <v>#REF!</v>
      </c>
      <c r="AK6" s="44" t="e">
        <f>IF(AND('Mapa final'!#REF!="Muy Alta",'Mapa final'!#REF!="Catastrófico"),CONCATENATE("R1C",'Mapa final'!#REF!),"")</f>
        <v>#REF!</v>
      </c>
      <c r="AL6" s="44" t="e">
        <f>IF(AND('Mapa final'!#REF!="Muy Alta",'Mapa final'!#REF!="Catastrófico"),CONCATENATE("R1C",'Mapa final'!#REF!),"")</f>
        <v>#REF!</v>
      </c>
      <c r="AM6" s="45" t="e">
        <f>IF(AND('Mapa final'!#REF!="Muy Alta",'Mapa final'!#REF!="Catastrófico"),CONCATENATE("R1C",'Mapa final'!#REF!),"")</f>
        <v>#REF!</v>
      </c>
      <c r="AN6" s="77"/>
      <c r="AO6" s="789" t="s">
        <v>475</v>
      </c>
      <c r="AP6" s="790"/>
      <c r="AQ6" s="790"/>
      <c r="AR6" s="790"/>
      <c r="AS6" s="790"/>
      <c r="AT6" s="791"/>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row>
    <row r="7" spans="1:91" ht="15" customHeight="1" x14ac:dyDescent="0.25">
      <c r="A7" s="77"/>
      <c r="B7" s="731"/>
      <c r="C7" s="731"/>
      <c r="D7" s="732"/>
      <c r="E7" s="772"/>
      <c r="F7" s="773"/>
      <c r="G7" s="773"/>
      <c r="H7" s="773"/>
      <c r="I7" s="774"/>
      <c r="J7" s="46" t="e">
        <f>IF(AND('Mapa final'!#REF!="Muy Alta",'Mapa final'!#REF!="Leve"),CONCATENATE("R2C",'Mapa final'!#REF!),"")</f>
        <v>#REF!</v>
      </c>
      <c r="K7" s="47" t="e">
        <f>IF(AND('Mapa final'!#REF!="Muy Alta",'Mapa final'!#REF!="Leve"),CONCATENATE("R2C",'Mapa final'!#REF!),"")</f>
        <v>#REF!</v>
      </c>
      <c r="L7" s="47" t="e">
        <f>IF(AND('Mapa final'!#REF!="Muy Alta",'Mapa final'!#REF!="Leve"),CONCATENATE("R2C",'Mapa final'!#REF!),"")</f>
        <v>#REF!</v>
      </c>
      <c r="M7" s="47" t="e">
        <f>IF(AND('Mapa final'!#REF!="Muy Alta",'Mapa final'!#REF!="Leve"),CONCATENATE("R2C",'Mapa final'!#REF!),"")</f>
        <v>#REF!</v>
      </c>
      <c r="N7" s="47" t="e">
        <f>IF(AND('Mapa final'!#REF!="Muy Alta",'Mapa final'!#REF!="Leve"),CONCATENATE("R2C",'Mapa final'!#REF!),"")</f>
        <v>#REF!</v>
      </c>
      <c r="O7" s="48" t="str">
        <f>IF(AND('Mapa final'!$AG$17="Muy Alta",'Mapa final'!$AI$17="Leve"),CONCATENATE("R2C",'Mapa final'!$W$17),"")</f>
        <v/>
      </c>
      <c r="P7" s="46" t="e">
        <f>IF(AND('Mapa final'!#REF!="Muy Alta",'Mapa final'!#REF!="Menor"),CONCATENATE("R2C",'Mapa final'!#REF!),"")</f>
        <v>#REF!</v>
      </c>
      <c r="Q7" s="47" t="e">
        <f>IF(AND('Mapa final'!#REF!="Muy Alta",'Mapa final'!#REF!="Menor"),CONCATENATE("R2C",'Mapa final'!#REF!),"")</f>
        <v>#REF!</v>
      </c>
      <c r="R7" s="47" t="e">
        <f>IF(AND('Mapa final'!#REF!="Muy Alta",'Mapa final'!#REF!="Menor"),CONCATENATE("R2C",'Mapa final'!#REF!),"")</f>
        <v>#REF!</v>
      </c>
      <c r="S7" s="47" t="e">
        <f>IF(AND('Mapa final'!#REF!="Muy Alta",'Mapa final'!#REF!="Menor"),CONCATENATE("R2C",'Mapa final'!#REF!),"")</f>
        <v>#REF!</v>
      </c>
      <c r="T7" s="47" t="e">
        <f>IF(AND('Mapa final'!#REF!="Muy Alta",'Mapa final'!#REF!="Menor"),CONCATENATE("R2C",'Mapa final'!#REF!),"")</f>
        <v>#REF!</v>
      </c>
      <c r="U7" s="48" t="str">
        <f>IF(AND('Mapa final'!$AG$17="Muy Alta",'Mapa final'!$AI$17="Menor"),CONCATENATE("R2C",'Mapa final'!$W$17),"")</f>
        <v/>
      </c>
      <c r="V7" s="46" t="e">
        <f>IF(AND('Mapa final'!#REF!="Muy Alta",'Mapa final'!#REF!="Moderado"),CONCATENATE("R2C",'Mapa final'!#REF!),"")</f>
        <v>#REF!</v>
      </c>
      <c r="W7" s="47" t="e">
        <f>IF(AND('Mapa final'!#REF!="Muy Alta",'Mapa final'!#REF!="Moderado"),CONCATENATE("R2C",'Mapa final'!#REF!),"")</f>
        <v>#REF!</v>
      </c>
      <c r="X7" s="47" t="e">
        <f>IF(AND('Mapa final'!#REF!="Muy Alta",'Mapa final'!#REF!="Moderado"),CONCATENATE("R2C",'Mapa final'!#REF!),"")</f>
        <v>#REF!</v>
      </c>
      <c r="Y7" s="47" t="e">
        <f>IF(AND('Mapa final'!#REF!="Muy Alta",'Mapa final'!#REF!="Moderado"),CONCATENATE("R2C",'Mapa final'!#REF!),"")</f>
        <v>#REF!</v>
      </c>
      <c r="Z7" s="47" t="e">
        <f>IF(AND('Mapa final'!#REF!="Muy Alta",'Mapa final'!#REF!="Moderado"),CONCATENATE("R2C",'Mapa final'!#REF!),"")</f>
        <v>#REF!</v>
      </c>
      <c r="AA7" s="48" t="str">
        <f>IF(AND('Mapa final'!$AG$17="Muy Alta",'Mapa final'!$AI$17="Moderado"),CONCATENATE("R2C",'Mapa final'!$W$17),"")</f>
        <v/>
      </c>
      <c r="AB7" s="46" t="e">
        <f>IF(AND('Mapa final'!#REF!="Muy Alta",'Mapa final'!#REF!="Mayor"),CONCATENATE("R2C",'Mapa final'!#REF!),"")</f>
        <v>#REF!</v>
      </c>
      <c r="AC7" s="47" t="e">
        <f>IF(AND('Mapa final'!#REF!="Muy Alta",'Mapa final'!#REF!="Mayor"),CONCATENATE("R2C",'Mapa final'!#REF!),"")</f>
        <v>#REF!</v>
      </c>
      <c r="AD7" s="47" t="e">
        <f>IF(AND('Mapa final'!#REF!="Muy Alta",'Mapa final'!#REF!="Mayor"),CONCATENATE("R2C",'Mapa final'!#REF!),"")</f>
        <v>#REF!</v>
      </c>
      <c r="AE7" s="47" t="e">
        <f>IF(AND('Mapa final'!#REF!="Muy Alta",'Mapa final'!#REF!="Mayor"),CONCATENATE("R2C",'Mapa final'!#REF!),"")</f>
        <v>#REF!</v>
      </c>
      <c r="AF7" s="47" t="e">
        <f>IF(AND('Mapa final'!#REF!="Muy Alta",'Mapa final'!#REF!="Mayor"),CONCATENATE("R2C",'Mapa final'!#REF!),"")</f>
        <v>#REF!</v>
      </c>
      <c r="AG7" s="48" t="str">
        <f>IF(AND('Mapa final'!$AG$17="Muy Alta",'Mapa final'!$AI$17="Mayor"),CONCATENATE("R2C",'Mapa final'!$W$17),"")</f>
        <v/>
      </c>
      <c r="AH7" s="49" t="e">
        <f>IF(AND('Mapa final'!#REF!="Muy Alta",'Mapa final'!#REF!="Catastrófico"),CONCATENATE("R2C",'Mapa final'!#REF!),"")</f>
        <v>#REF!</v>
      </c>
      <c r="AI7" s="50" t="e">
        <f>IF(AND('Mapa final'!#REF!="Muy Alta",'Mapa final'!#REF!="Catastrófico"),CONCATENATE("R2C",'Mapa final'!#REF!),"")</f>
        <v>#REF!</v>
      </c>
      <c r="AJ7" s="50" t="e">
        <f>IF(AND('Mapa final'!#REF!="Muy Alta",'Mapa final'!#REF!="Catastrófico"),CONCATENATE("R2C",'Mapa final'!#REF!),"")</f>
        <v>#REF!</v>
      </c>
      <c r="AK7" s="50" t="e">
        <f>IF(AND('Mapa final'!#REF!="Muy Alta",'Mapa final'!#REF!="Catastrófico"),CONCATENATE("R2C",'Mapa final'!#REF!),"")</f>
        <v>#REF!</v>
      </c>
      <c r="AL7" s="50" t="e">
        <f>IF(AND('Mapa final'!#REF!="Muy Alta",'Mapa final'!#REF!="Catastrófico"),CONCATENATE("R2C",'Mapa final'!#REF!),"")</f>
        <v>#REF!</v>
      </c>
      <c r="AM7" s="51" t="str">
        <f>IF(AND('Mapa final'!$AG$17="Muy Alta",'Mapa final'!$AI$17="Catastrófico"),CONCATENATE("R2C",'Mapa final'!$W$17),"")</f>
        <v/>
      </c>
      <c r="AN7" s="77"/>
      <c r="AO7" s="792"/>
      <c r="AP7" s="793"/>
      <c r="AQ7" s="793"/>
      <c r="AR7" s="793"/>
      <c r="AS7" s="793"/>
      <c r="AT7" s="794"/>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row>
    <row r="8" spans="1:91" ht="15" customHeight="1" x14ac:dyDescent="0.25">
      <c r="A8" s="77"/>
      <c r="B8" s="731"/>
      <c r="C8" s="731"/>
      <c r="D8" s="732"/>
      <c r="E8" s="772"/>
      <c r="F8" s="773"/>
      <c r="G8" s="773"/>
      <c r="H8" s="773"/>
      <c r="I8" s="774"/>
      <c r="J8" s="46" t="str">
        <f>IF(AND('Mapa final'!$AG$18="Muy Alta",'Mapa final'!$AI$18="Leve"),CONCATENATE("R3C",'Mapa final'!$W$18),"")</f>
        <v/>
      </c>
      <c r="K8" s="47" t="str">
        <f>IF(AND('Mapa final'!$AG$19="Muy Alta",'Mapa final'!$AI$19="Leve"),CONCATENATE("R3C",'Mapa final'!$W$19),"")</f>
        <v/>
      </c>
      <c r="L8" s="47" t="str">
        <f>IF(AND('Mapa final'!$AG$20="Muy Alta",'Mapa final'!$AI$20="Leve"),CONCATENATE("R3C",'Mapa final'!$W$20),"")</f>
        <v/>
      </c>
      <c r="M8" s="47" t="str">
        <f>IF(AND('Mapa final'!$AG$21="Muy Alta",'Mapa final'!$AI$21="Leve"),CONCATENATE("R3C",'Mapa final'!$W$21),"")</f>
        <v/>
      </c>
      <c r="N8" s="47" t="e">
        <f>IF(AND('Mapa final'!#REF!="Muy Alta",'Mapa final'!#REF!="Leve"),CONCATENATE("R3C",'Mapa final'!#REF!),"")</f>
        <v>#REF!</v>
      </c>
      <c r="O8" s="48" t="e">
        <f>IF(AND('Mapa final'!#REF!="Muy Alta",'Mapa final'!#REF!="Leve"),CONCATENATE("R3C",'Mapa final'!#REF!),"")</f>
        <v>#REF!</v>
      </c>
      <c r="P8" s="46" t="str">
        <f>IF(AND('Mapa final'!$AG$18="Muy Alta",'Mapa final'!$AI$18="Menor"),CONCATENATE("R3C",'Mapa final'!$W$18),"")</f>
        <v/>
      </c>
      <c r="Q8" s="47" t="str">
        <f>IF(AND('Mapa final'!$AG$19="Muy Alta",'Mapa final'!$AI$19="Menor"),CONCATENATE("R3C",'Mapa final'!$W$19),"")</f>
        <v/>
      </c>
      <c r="R8" s="47" t="str">
        <f>IF(AND('Mapa final'!$AG$20="Muy Alta",'Mapa final'!$AI$20="Menor"),CONCATENATE("R3C",'Mapa final'!$W$20),"")</f>
        <v/>
      </c>
      <c r="S8" s="47" t="str">
        <f>IF(AND('Mapa final'!$AG$21="Muy Alta",'Mapa final'!$AI$21="Menor"),CONCATENATE("R3C",'Mapa final'!$W$21),"")</f>
        <v/>
      </c>
      <c r="T8" s="47" t="e">
        <f>IF(AND('Mapa final'!#REF!="Muy Alta",'Mapa final'!#REF!="Menor"),CONCATENATE("R3C",'Mapa final'!#REF!),"")</f>
        <v>#REF!</v>
      </c>
      <c r="U8" s="48" t="e">
        <f>IF(AND('Mapa final'!#REF!="Muy Alta",'Mapa final'!#REF!="Menor"),CONCATENATE("R3C",'Mapa final'!#REF!),"")</f>
        <v>#REF!</v>
      </c>
      <c r="V8" s="46" t="str">
        <f>IF(AND('Mapa final'!$AG$18="Muy Alta",'Mapa final'!$AI$18="Moderado"),CONCATENATE("R3C",'Mapa final'!$W$18),"")</f>
        <v/>
      </c>
      <c r="W8" s="47" t="str">
        <f>IF(AND('Mapa final'!$AG$19="Muy Alta",'Mapa final'!$AI$19="Moderado"),CONCATENATE("R3C",'Mapa final'!$W$19),"")</f>
        <v/>
      </c>
      <c r="X8" s="47" t="str">
        <f>IF(AND('Mapa final'!$AG$20="Muy Alta",'Mapa final'!$AI$20="Moderado"),CONCATENATE("R3C",'Mapa final'!$W$20),"")</f>
        <v/>
      </c>
      <c r="Y8" s="47" t="str">
        <f>IF(AND('Mapa final'!$AG$21="Muy Alta",'Mapa final'!$AI$21="Moderado"),CONCATENATE("R3C",'Mapa final'!$W$21),"")</f>
        <v/>
      </c>
      <c r="Z8" s="47" t="e">
        <f>IF(AND('Mapa final'!#REF!="Muy Alta",'Mapa final'!#REF!="Moderado"),CONCATENATE("R3C",'Mapa final'!#REF!),"")</f>
        <v>#REF!</v>
      </c>
      <c r="AA8" s="48" t="e">
        <f>IF(AND('Mapa final'!#REF!="Muy Alta",'Mapa final'!#REF!="Moderado"),CONCATENATE("R3C",'Mapa final'!#REF!),"")</f>
        <v>#REF!</v>
      </c>
      <c r="AB8" s="46" t="str">
        <f>IF(AND('Mapa final'!$AG$18="Muy Alta",'Mapa final'!$AI$18="Mayor"),CONCATENATE("R3C",'Mapa final'!$W$18),"")</f>
        <v/>
      </c>
      <c r="AC8" s="47" t="str">
        <f>IF(AND('Mapa final'!$AG$19="Muy Alta",'Mapa final'!$AI$19="Mayor"),CONCATENATE("R3C",'Mapa final'!$W$19),"")</f>
        <v/>
      </c>
      <c r="AD8" s="47" t="str">
        <f>IF(AND('Mapa final'!$AG$20="Muy Alta",'Mapa final'!$AI$20="Mayor"),CONCATENATE("R3C",'Mapa final'!$W$20),"")</f>
        <v/>
      </c>
      <c r="AE8" s="47" t="str">
        <f>IF(AND('Mapa final'!$AG$21="Muy Alta",'Mapa final'!$AI$21="Mayor"),CONCATENATE("R3C",'Mapa final'!$W$21),"")</f>
        <v/>
      </c>
      <c r="AF8" s="47" t="e">
        <f>IF(AND('Mapa final'!#REF!="Muy Alta",'Mapa final'!#REF!="Mayor"),CONCATENATE("R3C",'Mapa final'!#REF!),"")</f>
        <v>#REF!</v>
      </c>
      <c r="AG8" s="48" t="e">
        <f>IF(AND('Mapa final'!#REF!="Muy Alta",'Mapa final'!#REF!="Mayor"),CONCATENATE("R3C",'Mapa final'!#REF!),"")</f>
        <v>#REF!</v>
      </c>
      <c r="AH8" s="49" t="str">
        <f>IF(AND('Mapa final'!$AG$18="Muy Alta",'Mapa final'!$AI$18="Catastrófico"),CONCATENATE("R3C",'Mapa final'!$W$18),"")</f>
        <v/>
      </c>
      <c r="AI8" s="50" t="str">
        <f>IF(AND('Mapa final'!$AG$19="Muy Alta",'Mapa final'!$AI$19="Catastrófico"),CONCATENATE("R3C",'Mapa final'!$W$19),"")</f>
        <v/>
      </c>
      <c r="AJ8" s="50" t="str">
        <f>IF(AND('Mapa final'!$AG$20="Muy Alta",'Mapa final'!$AI$20="Catastrófico"),CONCATENATE("R3C",'Mapa final'!$W$20),"")</f>
        <v/>
      </c>
      <c r="AK8" s="50" t="str">
        <f>IF(AND('Mapa final'!$AG$21="Muy Alta",'Mapa final'!$AI$21="Catastrófico"),CONCATENATE("R3C",'Mapa final'!$W$21),"")</f>
        <v/>
      </c>
      <c r="AL8" s="50" t="e">
        <f>IF(AND('Mapa final'!#REF!="Muy Alta",'Mapa final'!#REF!="Catastrófico"),CONCATENATE("R3C",'Mapa final'!#REF!),"")</f>
        <v>#REF!</v>
      </c>
      <c r="AM8" s="51" t="e">
        <f>IF(AND('Mapa final'!#REF!="Muy Alta",'Mapa final'!#REF!="Catastrófico"),CONCATENATE("R3C",'Mapa final'!#REF!),"")</f>
        <v>#REF!</v>
      </c>
      <c r="AN8" s="77"/>
      <c r="AO8" s="792"/>
      <c r="AP8" s="793"/>
      <c r="AQ8" s="793"/>
      <c r="AR8" s="793"/>
      <c r="AS8" s="793"/>
      <c r="AT8" s="794"/>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row>
    <row r="9" spans="1:91" ht="15" customHeight="1" x14ac:dyDescent="0.25">
      <c r="A9" s="77"/>
      <c r="B9" s="731"/>
      <c r="C9" s="731"/>
      <c r="D9" s="732"/>
      <c r="E9" s="772"/>
      <c r="F9" s="773"/>
      <c r="G9" s="773"/>
      <c r="H9" s="773"/>
      <c r="I9" s="774"/>
      <c r="J9" s="46" t="e">
        <f>IF(AND('Mapa final'!#REF!="Muy Alta",'Mapa final'!#REF!="Leve"),CONCATENATE("R4C",'Mapa final'!#REF!),"")</f>
        <v>#REF!</v>
      </c>
      <c r="K9" s="47" t="str">
        <f>IF(AND('Mapa final'!$AG$22="Muy Alta",'Mapa final'!$AI$22="Leve"),CONCATENATE("R4C",'Mapa final'!$W$22),"")</f>
        <v/>
      </c>
      <c r="L9" s="47" t="str">
        <f>IF(AND('Mapa final'!$AG$23="Muy Alta",'Mapa final'!$AI$23="Leve"),CONCATENATE("R4C",'Mapa final'!$W$23),"")</f>
        <v/>
      </c>
      <c r="M9" s="47" t="str">
        <f>IF(AND('Mapa final'!$AG$24="Muy Alta",'Mapa final'!$AI$24="Leve"),CONCATENATE("R4C",'Mapa final'!$W$24),"")</f>
        <v/>
      </c>
      <c r="N9" s="47" t="e">
        <f>IF(AND('Mapa final'!#REF!="Muy Alta",'Mapa final'!#REF!="Leve"),CONCATENATE("R4C",'Mapa final'!#REF!),"")</f>
        <v>#REF!</v>
      </c>
      <c r="O9" s="48" t="str">
        <f>IF(AND('Mapa final'!$AG$25="Muy Alta",'Mapa final'!$AI$25="Leve"),CONCATENATE("R4C",'Mapa final'!$W$25),"")</f>
        <v/>
      </c>
      <c r="P9" s="46" t="e">
        <f>IF(AND('Mapa final'!#REF!="Muy Alta",'Mapa final'!#REF!="Menor"),CONCATENATE("R4C",'Mapa final'!#REF!),"")</f>
        <v>#REF!</v>
      </c>
      <c r="Q9" s="47" t="str">
        <f>IF(AND('Mapa final'!$AG$22="Muy Alta",'Mapa final'!$AI$22="Menor"),CONCATENATE("R4C",'Mapa final'!$W$22),"")</f>
        <v/>
      </c>
      <c r="R9" s="47" t="str">
        <f>IF(AND('Mapa final'!$AG$23="Muy Alta",'Mapa final'!$AI$23="Menor"),CONCATENATE("R4C",'Mapa final'!$W$23),"")</f>
        <v/>
      </c>
      <c r="S9" s="47" t="str">
        <f>IF(AND('Mapa final'!$AG$24="Muy Alta",'Mapa final'!$AI$24="Menor"),CONCATENATE("R4C",'Mapa final'!$W$24),"")</f>
        <v/>
      </c>
      <c r="T9" s="47" t="e">
        <f>IF(AND('Mapa final'!#REF!="Muy Alta",'Mapa final'!#REF!="Menor"),CONCATENATE("R4C",'Mapa final'!#REF!),"")</f>
        <v>#REF!</v>
      </c>
      <c r="U9" s="48" t="str">
        <f>IF(AND('Mapa final'!$AG$25="Muy Alta",'Mapa final'!$AI$25="Menor"),CONCATENATE("R4C",'Mapa final'!$W$25),"")</f>
        <v/>
      </c>
      <c r="V9" s="46" t="e">
        <f>IF(AND('Mapa final'!#REF!="Muy Alta",'Mapa final'!#REF!="Moderado"),CONCATENATE("R4C",'Mapa final'!#REF!),"")</f>
        <v>#REF!</v>
      </c>
      <c r="W9" s="47" t="str">
        <f>IF(AND('Mapa final'!$AG$22="Muy Alta",'Mapa final'!$AI$22="Moderado"),CONCATENATE("R4C",'Mapa final'!$W$22),"")</f>
        <v/>
      </c>
      <c r="X9" s="47" t="str">
        <f>IF(AND('Mapa final'!$AG$23="Muy Alta",'Mapa final'!$AI$23="Moderado"),CONCATENATE("R4C",'Mapa final'!$W$23),"")</f>
        <v/>
      </c>
      <c r="Y9" s="47" t="str">
        <f>IF(AND('Mapa final'!$AG$24="Muy Alta",'Mapa final'!$AI$24="Moderado"),CONCATENATE("R4C",'Mapa final'!$W$24),"")</f>
        <v/>
      </c>
      <c r="Z9" s="47" t="e">
        <f>IF(AND('Mapa final'!#REF!="Muy Alta",'Mapa final'!#REF!="Moderado"),CONCATENATE("R4C",'Mapa final'!#REF!),"")</f>
        <v>#REF!</v>
      </c>
      <c r="AA9" s="48" t="str">
        <f>IF(AND('Mapa final'!$AG$25="Muy Alta",'Mapa final'!$AI$25="Moderado"),CONCATENATE("R4C",'Mapa final'!$W$25),"")</f>
        <v/>
      </c>
      <c r="AB9" s="46" t="e">
        <f>IF(AND('Mapa final'!#REF!="Muy Alta",'Mapa final'!#REF!="Mayor"),CONCATENATE("R4C",'Mapa final'!#REF!),"")</f>
        <v>#REF!</v>
      </c>
      <c r="AC9" s="47" t="str">
        <f>IF(AND('Mapa final'!$AG$22="Muy Alta",'Mapa final'!$AI$22="Mayor"),CONCATENATE("R4C",'Mapa final'!$W$22),"")</f>
        <v/>
      </c>
      <c r="AD9" s="47" t="str">
        <f>IF(AND('Mapa final'!$AG$23="Muy Alta",'Mapa final'!$AI$23="Mayor"),CONCATENATE("R4C",'Mapa final'!$W$23),"")</f>
        <v/>
      </c>
      <c r="AE9" s="47" t="str">
        <f>IF(AND('Mapa final'!$AG$24="Muy Alta",'Mapa final'!$AI$24="Mayor"),CONCATENATE("R4C",'Mapa final'!$W$24),"")</f>
        <v/>
      </c>
      <c r="AF9" s="47" t="e">
        <f>IF(AND('Mapa final'!#REF!="Muy Alta",'Mapa final'!#REF!="Mayor"),CONCATENATE("R4C",'Mapa final'!#REF!),"")</f>
        <v>#REF!</v>
      </c>
      <c r="AG9" s="48" t="str">
        <f>IF(AND('Mapa final'!$AG$25="Muy Alta",'Mapa final'!$AI$25="Mayor"),CONCATENATE("R4C",'Mapa final'!$W$25),"")</f>
        <v/>
      </c>
      <c r="AH9" s="49" t="e">
        <f>IF(AND('Mapa final'!#REF!="Muy Alta",'Mapa final'!#REF!="Catastrófico"),CONCATENATE("R4C",'Mapa final'!#REF!),"")</f>
        <v>#REF!</v>
      </c>
      <c r="AI9" s="50" t="str">
        <f>IF(AND('Mapa final'!$AG$22="Muy Alta",'Mapa final'!$AI$22="Catastrófico"),CONCATENATE("R4C",'Mapa final'!$W$22),"")</f>
        <v/>
      </c>
      <c r="AJ9" s="50" t="str">
        <f>IF(AND('Mapa final'!$AG$23="Muy Alta",'Mapa final'!$AI$23="Catastrófico"),CONCATENATE("R4C",'Mapa final'!$W$23),"")</f>
        <v/>
      </c>
      <c r="AK9" s="50" t="str">
        <f>IF(AND('Mapa final'!$AG$24="Muy Alta",'Mapa final'!$AI$24="Catastrófico"),CONCATENATE("R4C",'Mapa final'!$W$24),"")</f>
        <v/>
      </c>
      <c r="AL9" s="50" t="e">
        <f>IF(AND('Mapa final'!#REF!="Muy Alta",'Mapa final'!#REF!="Catastrófico"),CONCATENATE("R4C",'Mapa final'!#REF!),"")</f>
        <v>#REF!</v>
      </c>
      <c r="AM9" s="51" t="str">
        <f>IF(AND('Mapa final'!$AG$25="Muy Alta",'Mapa final'!$AI$25="Catastrófico"),CONCATENATE("R4C",'Mapa final'!$W$25),"")</f>
        <v/>
      </c>
      <c r="AN9" s="77"/>
      <c r="AO9" s="792"/>
      <c r="AP9" s="793"/>
      <c r="AQ9" s="793"/>
      <c r="AR9" s="793"/>
      <c r="AS9" s="793"/>
      <c r="AT9" s="794"/>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row>
    <row r="10" spans="1:91" ht="15" customHeight="1" x14ac:dyDescent="0.25">
      <c r="A10" s="77"/>
      <c r="B10" s="731"/>
      <c r="C10" s="731"/>
      <c r="D10" s="732"/>
      <c r="E10" s="772"/>
      <c r="F10" s="773"/>
      <c r="G10" s="773"/>
      <c r="H10" s="773"/>
      <c r="I10" s="774"/>
      <c r="J10" s="46" t="e">
        <f>IF(AND('Mapa final'!#REF!="Muy Alta",'Mapa final'!#REF!="Leve"),CONCATENATE("R5C",'Mapa final'!#REF!),"")</f>
        <v>#REF!</v>
      </c>
      <c r="K10" s="47" t="str">
        <f>IF(AND('Mapa final'!$AG$26="Muy Alta",'Mapa final'!$AI$26="Leve"),CONCATENATE("R5C",'Mapa final'!$W$26),"")</f>
        <v/>
      </c>
      <c r="L10" s="47" t="str">
        <f>IF(AND('Mapa final'!$AG$27="Muy Alta",'Mapa final'!$AI$27="Leve"),CONCATENATE("R5C",'Mapa final'!$W$27),"")</f>
        <v/>
      </c>
      <c r="M10" s="47" t="str">
        <f>IF(AND('Mapa final'!$AG$28="Muy Alta",'Mapa final'!$AI$28="Leve"),CONCATENATE("R5C",'Mapa final'!$W$28),"")</f>
        <v/>
      </c>
      <c r="N10" s="47" t="str">
        <f>IF(AND('Mapa final'!$AG$29="Muy Alta",'Mapa final'!$AI$29="Leve"),CONCATENATE("R5C",'Mapa final'!$W$29),"")</f>
        <v/>
      </c>
      <c r="O10" s="48" t="str">
        <f>IF(AND('Mapa final'!$AG$30="Muy Alta",'Mapa final'!$AI$30="Leve"),CONCATENATE("R5C",'Mapa final'!$W$30),"")</f>
        <v/>
      </c>
      <c r="P10" s="46" t="e">
        <f>IF(AND('Mapa final'!#REF!="Muy Alta",'Mapa final'!#REF!="Menor"),CONCATENATE("R5C",'Mapa final'!#REF!),"")</f>
        <v>#REF!</v>
      </c>
      <c r="Q10" s="47" t="str">
        <f>IF(AND('Mapa final'!$AG$26="Muy Alta",'Mapa final'!$AI$26="Menor"),CONCATENATE("R5C",'Mapa final'!$W$26),"")</f>
        <v/>
      </c>
      <c r="R10" s="47" t="str">
        <f>IF(AND('Mapa final'!$AG$27="Muy Alta",'Mapa final'!$AI$27="Menor"),CONCATENATE("R5C",'Mapa final'!$W$27),"")</f>
        <v/>
      </c>
      <c r="S10" s="47" t="str">
        <f>IF(AND('Mapa final'!$AG$28="Muy Alta",'Mapa final'!$AI$28="Menor"),CONCATENATE("R5C",'Mapa final'!$W$28),"")</f>
        <v/>
      </c>
      <c r="T10" s="47" t="str">
        <f>IF(AND('Mapa final'!$AG$29="Muy Alta",'Mapa final'!$AI$29="Menor"),CONCATENATE("R5C",'Mapa final'!$W$29),"")</f>
        <v/>
      </c>
      <c r="U10" s="48" t="str">
        <f>IF(AND('Mapa final'!$AG$30="Muy Alta",'Mapa final'!$AI$30="Menor"),CONCATENATE("R5C",'Mapa final'!$W$30),"")</f>
        <v/>
      </c>
      <c r="V10" s="46" t="e">
        <f>IF(AND('Mapa final'!#REF!="Muy Alta",'Mapa final'!#REF!="Moderado"),CONCATENATE("R5C",'Mapa final'!#REF!),"")</f>
        <v>#REF!</v>
      </c>
      <c r="W10" s="47" t="str">
        <f>IF(AND('Mapa final'!$AG$26="Muy Alta",'Mapa final'!$AI$26="Moderado"),CONCATENATE("R5C",'Mapa final'!$W$26),"")</f>
        <v/>
      </c>
      <c r="X10" s="47" t="str">
        <f>IF(AND('Mapa final'!$AG$27="Muy Alta",'Mapa final'!$AI$27="Moderado"),CONCATENATE("R5C",'Mapa final'!$W$27),"")</f>
        <v/>
      </c>
      <c r="Y10" s="47" t="str">
        <f>IF(AND('Mapa final'!$AG$28="Muy Alta",'Mapa final'!$AI$28="Moderado"),CONCATENATE("R5C",'Mapa final'!$W$28),"")</f>
        <v/>
      </c>
      <c r="Z10" s="47" t="str">
        <f>IF(AND('Mapa final'!$AG$29="Muy Alta",'Mapa final'!$AI$29="Moderado"),CONCATENATE("R5C",'Mapa final'!$W$29),"")</f>
        <v/>
      </c>
      <c r="AA10" s="48" t="str">
        <f>IF(AND('Mapa final'!$AG$30="Muy Alta",'Mapa final'!$AI$30="Moderado"),CONCATENATE("R5C",'Mapa final'!$W$30),"")</f>
        <v/>
      </c>
      <c r="AB10" s="46" t="e">
        <f>IF(AND('Mapa final'!#REF!="Muy Alta",'Mapa final'!#REF!="Mayor"),CONCATENATE("R5C",'Mapa final'!#REF!),"")</f>
        <v>#REF!</v>
      </c>
      <c r="AC10" s="47" t="str">
        <f>IF(AND('Mapa final'!$AG$26="Muy Alta",'Mapa final'!$AI$26="Mayor"),CONCATENATE("R5C",'Mapa final'!$W$26),"")</f>
        <v/>
      </c>
      <c r="AD10" s="47" t="str">
        <f>IF(AND('Mapa final'!$AG$27="Muy Alta",'Mapa final'!$AI$27="Mayor"),CONCATENATE("R5C",'Mapa final'!$W$27),"")</f>
        <v/>
      </c>
      <c r="AE10" s="47" t="str">
        <f>IF(AND('Mapa final'!$AG$28="Muy Alta",'Mapa final'!$AI$28="Mayor"),CONCATENATE("R5C",'Mapa final'!$W$28),"")</f>
        <v/>
      </c>
      <c r="AF10" s="47" t="str">
        <f>IF(AND('Mapa final'!$AG$29="Muy Alta",'Mapa final'!$AI$29="Mayor"),CONCATENATE("R5C",'Mapa final'!$W$29),"")</f>
        <v/>
      </c>
      <c r="AG10" s="48" t="str">
        <f>IF(AND('Mapa final'!$AG$30="Muy Alta",'Mapa final'!$AI$30="Mayor"),CONCATENATE("R5C",'Mapa final'!$W$30),"")</f>
        <v/>
      </c>
      <c r="AH10" s="49" t="e">
        <f>IF(AND('Mapa final'!#REF!="Muy Alta",'Mapa final'!#REF!="Catastrófico"),CONCATENATE("R5C",'Mapa final'!#REF!),"")</f>
        <v>#REF!</v>
      </c>
      <c r="AI10" s="50" t="str">
        <f>IF(AND('Mapa final'!$AG$26="Muy Alta",'Mapa final'!$AI$26="Catastrófico"),CONCATENATE("R5C",'Mapa final'!$W$26),"")</f>
        <v/>
      </c>
      <c r="AJ10" s="50" t="str">
        <f>IF(AND('Mapa final'!$AG$27="Muy Alta",'Mapa final'!$AI$27="Catastrófico"),CONCATENATE("R5C",'Mapa final'!$W$27),"")</f>
        <v/>
      </c>
      <c r="AK10" s="50" t="str">
        <f>IF(AND('Mapa final'!$AG$28="Muy Alta",'Mapa final'!$AI$28="Catastrófico"),CONCATENATE("R5C",'Mapa final'!$W$28),"")</f>
        <v/>
      </c>
      <c r="AL10" s="50" t="str">
        <f>IF(AND('Mapa final'!$AG$29="Muy Alta",'Mapa final'!$AI$29="Catastrófico"),CONCATENATE("R5C",'Mapa final'!$W$29),"")</f>
        <v/>
      </c>
      <c r="AM10" s="51" t="str">
        <f>IF(AND('Mapa final'!$AG$30="Muy Alta",'Mapa final'!$AI$30="Catastrófico"),CONCATENATE("R5C",'Mapa final'!$W$30),"")</f>
        <v/>
      </c>
      <c r="AN10" s="77"/>
      <c r="AO10" s="792"/>
      <c r="AP10" s="793"/>
      <c r="AQ10" s="793"/>
      <c r="AR10" s="793"/>
      <c r="AS10" s="793"/>
      <c r="AT10" s="794"/>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row>
    <row r="11" spans="1:91" ht="15" customHeight="1" x14ac:dyDescent="0.25">
      <c r="A11" s="77"/>
      <c r="B11" s="731"/>
      <c r="C11" s="731"/>
      <c r="D11" s="732"/>
      <c r="E11" s="772"/>
      <c r="F11" s="773"/>
      <c r="G11" s="773"/>
      <c r="H11" s="773"/>
      <c r="I11" s="774"/>
      <c r="J11" s="46" t="str">
        <f>IF(AND('Mapa final'!$AG$31="Muy Alta",'Mapa final'!$AI$31="Leve"),CONCATENATE("R6C",'Mapa final'!$W$31),"")</f>
        <v/>
      </c>
      <c r="K11" s="47" t="str">
        <f>IF(AND('Mapa final'!$AG$32="Muy Alta",'Mapa final'!$AI$32="Leve"),CONCATENATE("R6C",'Mapa final'!$W$32),"")</f>
        <v/>
      </c>
      <c r="L11" s="47" t="str">
        <f>IF(AND('Mapa final'!$AG$33="Muy Alta",'Mapa final'!$AI$33="Leve"),CONCATENATE("R6C",'Mapa final'!$W$33),"")</f>
        <v/>
      </c>
      <c r="M11" s="47" t="e">
        <f>IF(AND('Mapa final'!#REF!="Muy Alta",'Mapa final'!#REF!="Leve"),CONCATENATE("R6C",'Mapa final'!#REF!),"")</f>
        <v>#REF!</v>
      </c>
      <c r="N11" s="47" t="e">
        <f>IF(AND('Mapa final'!#REF!="Muy Alta",'Mapa final'!#REF!="Leve"),CONCATENATE("R6C",'Mapa final'!#REF!),"")</f>
        <v>#REF!</v>
      </c>
      <c r="O11" s="48" t="e">
        <f>IF(AND('Mapa final'!#REF!="Muy Alta",'Mapa final'!#REF!="Leve"),CONCATENATE("R6C",'Mapa final'!#REF!),"")</f>
        <v>#REF!</v>
      </c>
      <c r="P11" s="46" t="str">
        <f>IF(AND('Mapa final'!$AG$31="Muy Alta",'Mapa final'!$AI$31="Menor"),CONCATENATE("R6C",'Mapa final'!$W$31),"")</f>
        <v/>
      </c>
      <c r="Q11" s="47" t="str">
        <f>IF(AND('Mapa final'!$AG$32="Muy Alta",'Mapa final'!$AI$32="Menor"),CONCATENATE("R6C",'Mapa final'!$W$32),"")</f>
        <v/>
      </c>
      <c r="R11" s="47" t="str">
        <f>IF(AND('Mapa final'!$AG$33="Muy Alta",'Mapa final'!$AI$33="Menor"),CONCATENATE("R6C",'Mapa final'!$W$33),"")</f>
        <v/>
      </c>
      <c r="S11" s="47" t="e">
        <f>IF(AND('Mapa final'!#REF!="Muy Alta",'Mapa final'!#REF!="Menor"),CONCATENATE("R6C",'Mapa final'!#REF!),"")</f>
        <v>#REF!</v>
      </c>
      <c r="T11" s="47" t="e">
        <f>IF(AND('Mapa final'!#REF!="Muy Alta",'Mapa final'!#REF!="Menor"),CONCATENATE("R6C",'Mapa final'!#REF!),"")</f>
        <v>#REF!</v>
      </c>
      <c r="U11" s="48" t="e">
        <f>IF(AND('Mapa final'!#REF!="Muy Alta",'Mapa final'!#REF!="Menor"),CONCATENATE("R6C",'Mapa final'!#REF!),"")</f>
        <v>#REF!</v>
      </c>
      <c r="V11" s="46" t="str">
        <f>IF(AND('Mapa final'!$AG$31="Muy Alta",'Mapa final'!$AI$31="Moderado"),CONCATENATE("R6C",'Mapa final'!$W$31),"")</f>
        <v/>
      </c>
      <c r="W11" s="47" t="str">
        <f>IF(AND('Mapa final'!$AG$32="Muy Alta",'Mapa final'!$AI$32="Moderado"),CONCATENATE("R6C",'Mapa final'!$W$32),"")</f>
        <v/>
      </c>
      <c r="X11" s="47" t="str">
        <f>IF(AND('Mapa final'!$AG$33="Muy Alta",'Mapa final'!$AI$33="Moderado"),CONCATENATE("R6C",'Mapa final'!$W$33),"")</f>
        <v/>
      </c>
      <c r="Y11" s="47" t="e">
        <f>IF(AND('Mapa final'!#REF!="Muy Alta",'Mapa final'!#REF!="Moderado"),CONCATENATE("R6C",'Mapa final'!#REF!),"")</f>
        <v>#REF!</v>
      </c>
      <c r="Z11" s="47" t="e">
        <f>IF(AND('Mapa final'!#REF!="Muy Alta",'Mapa final'!#REF!="Moderado"),CONCATENATE("R6C",'Mapa final'!#REF!),"")</f>
        <v>#REF!</v>
      </c>
      <c r="AA11" s="48" t="e">
        <f>IF(AND('Mapa final'!#REF!="Muy Alta",'Mapa final'!#REF!="Moderado"),CONCATENATE("R6C",'Mapa final'!#REF!),"")</f>
        <v>#REF!</v>
      </c>
      <c r="AB11" s="46" t="str">
        <f>IF(AND('Mapa final'!$AG$31="Muy Alta",'Mapa final'!$AI$31="Mayor"),CONCATENATE("R6C",'Mapa final'!$W$31),"")</f>
        <v/>
      </c>
      <c r="AC11" s="47" t="str">
        <f>IF(AND('Mapa final'!$AG$32="Muy Alta",'Mapa final'!$AI$32="Mayor"),CONCATENATE("R6C",'Mapa final'!$W$32),"")</f>
        <v/>
      </c>
      <c r="AD11" s="47" t="str">
        <f>IF(AND('Mapa final'!$AG$33="Muy Alta",'Mapa final'!$AI$33="Mayor"),CONCATENATE("R6C",'Mapa final'!$W$33),"")</f>
        <v/>
      </c>
      <c r="AE11" s="47" t="e">
        <f>IF(AND('Mapa final'!#REF!="Muy Alta",'Mapa final'!#REF!="Mayor"),CONCATENATE("R6C",'Mapa final'!#REF!),"")</f>
        <v>#REF!</v>
      </c>
      <c r="AF11" s="47" t="e">
        <f>IF(AND('Mapa final'!#REF!="Muy Alta",'Mapa final'!#REF!="Mayor"),CONCATENATE("R6C",'Mapa final'!#REF!),"")</f>
        <v>#REF!</v>
      </c>
      <c r="AG11" s="48" t="e">
        <f>IF(AND('Mapa final'!#REF!="Muy Alta",'Mapa final'!#REF!="Mayor"),CONCATENATE("R6C",'Mapa final'!#REF!),"")</f>
        <v>#REF!</v>
      </c>
      <c r="AH11" s="49" t="str">
        <f>IF(AND('Mapa final'!$AG$31="Muy Alta",'Mapa final'!$AI$31="Catastrófico"),CONCATENATE("R6C",'Mapa final'!$W$31),"")</f>
        <v/>
      </c>
      <c r="AI11" s="50" t="str">
        <f>IF(AND('Mapa final'!$AG$32="Muy Alta",'Mapa final'!$AI$32="Catastrófico"),CONCATENATE("R6C",'Mapa final'!$W$32),"")</f>
        <v/>
      </c>
      <c r="AJ11" s="50" t="str">
        <f>IF(AND('Mapa final'!$AG$33="Muy Alta",'Mapa final'!$AI$33="Catastrófico"),CONCATENATE("R6C",'Mapa final'!$W$33),"")</f>
        <v/>
      </c>
      <c r="AK11" s="50" t="e">
        <f>IF(AND('Mapa final'!#REF!="Muy Alta",'Mapa final'!#REF!="Catastrófico"),CONCATENATE("R6C",'Mapa final'!#REF!),"")</f>
        <v>#REF!</v>
      </c>
      <c r="AL11" s="50" t="e">
        <f>IF(AND('Mapa final'!#REF!="Muy Alta",'Mapa final'!#REF!="Catastrófico"),CONCATENATE("R6C",'Mapa final'!#REF!),"")</f>
        <v>#REF!</v>
      </c>
      <c r="AM11" s="51" t="e">
        <f>IF(AND('Mapa final'!#REF!="Muy Alta",'Mapa final'!#REF!="Catastrófico"),CONCATENATE("R6C",'Mapa final'!#REF!),"")</f>
        <v>#REF!</v>
      </c>
      <c r="AN11" s="77"/>
      <c r="AO11" s="792"/>
      <c r="AP11" s="793"/>
      <c r="AQ11" s="793"/>
      <c r="AR11" s="793"/>
      <c r="AS11" s="793"/>
      <c r="AT11" s="794"/>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row>
    <row r="12" spans="1:91" ht="15" customHeight="1" x14ac:dyDescent="0.25">
      <c r="A12" s="77"/>
      <c r="B12" s="731"/>
      <c r="C12" s="731"/>
      <c r="D12" s="732"/>
      <c r="E12" s="772"/>
      <c r="F12" s="773"/>
      <c r="G12" s="773"/>
      <c r="H12" s="773"/>
      <c r="I12" s="774"/>
      <c r="J12" s="46" t="e">
        <f>IF(AND('Mapa final'!#REF!="Muy Alta",'Mapa final'!#REF!="Leve"),CONCATENATE("R7C",'Mapa final'!#REF!),"")</f>
        <v>#REF!</v>
      </c>
      <c r="K12" s="47" t="e">
        <f>IF(AND('Mapa final'!#REF!="Muy Alta",'Mapa final'!#REF!="Leve"),CONCATENATE("R7C",'Mapa final'!#REF!),"")</f>
        <v>#REF!</v>
      </c>
      <c r="L12" s="47" t="e">
        <f>IF(AND('Mapa final'!#REF!="Muy Alta",'Mapa final'!#REF!="Leve"),CONCATENATE("R7C",'Mapa final'!#REF!),"")</f>
        <v>#REF!</v>
      </c>
      <c r="M12" s="47" t="str">
        <f>IF(AND('Mapa final'!$AG$36="Muy Alta",'Mapa final'!$AI$36="Leve"),CONCATENATE("R7C",'Mapa final'!$W$36),"")</f>
        <v/>
      </c>
      <c r="N12" s="47" t="e">
        <f>IF(AND('Mapa final'!#REF!="Muy Alta",'Mapa final'!#REF!="Leve"),CONCATENATE("R7C",'Mapa final'!#REF!),"")</f>
        <v>#REF!</v>
      </c>
      <c r="O12" s="48" t="e">
        <f>IF(AND('Mapa final'!#REF!="Muy Alta",'Mapa final'!#REF!="Leve"),CONCATENATE("R7C",'Mapa final'!#REF!),"")</f>
        <v>#REF!</v>
      </c>
      <c r="P12" s="46" t="e">
        <f>IF(AND('Mapa final'!#REF!="Muy Alta",'Mapa final'!#REF!="Menor"),CONCATENATE("R7C",'Mapa final'!#REF!),"")</f>
        <v>#REF!</v>
      </c>
      <c r="Q12" s="47" t="e">
        <f>IF(AND('Mapa final'!#REF!="Muy Alta",'Mapa final'!#REF!="Menor"),CONCATENATE("R7C",'Mapa final'!#REF!),"")</f>
        <v>#REF!</v>
      </c>
      <c r="R12" s="47" t="e">
        <f>IF(AND('Mapa final'!#REF!="Muy Alta",'Mapa final'!#REF!="Menor"),CONCATENATE("R7C",'Mapa final'!#REF!),"")</f>
        <v>#REF!</v>
      </c>
      <c r="S12" s="47" t="str">
        <f>IF(AND('Mapa final'!$AG$36="Muy Alta",'Mapa final'!$AI$36="Menor"),CONCATENATE("R7C",'Mapa final'!$W$36),"")</f>
        <v/>
      </c>
      <c r="T12" s="47" t="e">
        <f>IF(AND('Mapa final'!#REF!="Muy Alta",'Mapa final'!#REF!="Menor"),CONCATENATE("R7C",'Mapa final'!#REF!),"")</f>
        <v>#REF!</v>
      </c>
      <c r="U12" s="48" t="e">
        <f>IF(AND('Mapa final'!#REF!="Muy Alta",'Mapa final'!#REF!="Menor"),CONCATENATE("R7C",'Mapa final'!#REF!),"")</f>
        <v>#REF!</v>
      </c>
      <c r="V12" s="46" t="e">
        <f>IF(AND('Mapa final'!#REF!="Muy Alta",'Mapa final'!#REF!="Moderado"),CONCATENATE("R7C",'Mapa final'!#REF!),"")</f>
        <v>#REF!</v>
      </c>
      <c r="W12" s="47" t="e">
        <f>IF(AND('Mapa final'!#REF!="Muy Alta",'Mapa final'!#REF!="Moderado"),CONCATENATE("R7C",'Mapa final'!#REF!),"")</f>
        <v>#REF!</v>
      </c>
      <c r="X12" s="47" t="e">
        <f>IF(AND('Mapa final'!#REF!="Muy Alta",'Mapa final'!#REF!="Moderado"),CONCATENATE("R7C",'Mapa final'!#REF!),"")</f>
        <v>#REF!</v>
      </c>
      <c r="Y12" s="47" t="str">
        <f>IF(AND('Mapa final'!$AG$36="Muy Alta",'Mapa final'!$AI$36="Moderado"),CONCATENATE("R7C",'Mapa final'!$W$36),"")</f>
        <v/>
      </c>
      <c r="Z12" s="47" t="e">
        <f>IF(AND('Mapa final'!#REF!="Muy Alta",'Mapa final'!#REF!="Moderado"),CONCATENATE("R7C",'Mapa final'!#REF!),"")</f>
        <v>#REF!</v>
      </c>
      <c r="AA12" s="48" t="e">
        <f>IF(AND('Mapa final'!#REF!="Muy Alta",'Mapa final'!#REF!="Moderado"),CONCATENATE("R7C",'Mapa final'!#REF!),"")</f>
        <v>#REF!</v>
      </c>
      <c r="AB12" s="46" t="e">
        <f>IF(AND('Mapa final'!#REF!="Muy Alta",'Mapa final'!#REF!="Mayor"),CONCATENATE("R7C",'Mapa final'!#REF!),"")</f>
        <v>#REF!</v>
      </c>
      <c r="AC12" s="47" t="e">
        <f>IF(AND('Mapa final'!#REF!="Muy Alta",'Mapa final'!#REF!="Mayor"),CONCATENATE("R7C",'Mapa final'!#REF!),"")</f>
        <v>#REF!</v>
      </c>
      <c r="AD12" s="47" t="e">
        <f>IF(AND('Mapa final'!#REF!="Muy Alta",'Mapa final'!#REF!="Mayor"),CONCATENATE("R7C",'Mapa final'!#REF!),"")</f>
        <v>#REF!</v>
      </c>
      <c r="AE12" s="47" t="str">
        <f>IF(AND('Mapa final'!$AG$36="Muy Alta",'Mapa final'!$AI$36="Mayor"),CONCATENATE("R7C",'Mapa final'!$W$36),"")</f>
        <v/>
      </c>
      <c r="AF12" s="47" t="e">
        <f>IF(AND('Mapa final'!#REF!="Muy Alta",'Mapa final'!#REF!="Mayor"),CONCATENATE("R7C",'Mapa final'!#REF!),"")</f>
        <v>#REF!</v>
      </c>
      <c r="AG12" s="48" t="e">
        <f>IF(AND('Mapa final'!#REF!="Muy Alta",'Mapa final'!#REF!="Mayor"),CONCATENATE("R7C",'Mapa final'!#REF!),"")</f>
        <v>#REF!</v>
      </c>
      <c r="AH12" s="49" t="e">
        <f>IF(AND('Mapa final'!#REF!="Muy Alta",'Mapa final'!#REF!="Catastrófico"),CONCATENATE("R7C",'Mapa final'!#REF!),"")</f>
        <v>#REF!</v>
      </c>
      <c r="AI12" s="50" t="e">
        <f>IF(AND('Mapa final'!#REF!="Muy Alta",'Mapa final'!#REF!="Catastrófico"),CONCATENATE("R7C",'Mapa final'!#REF!),"")</f>
        <v>#REF!</v>
      </c>
      <c r="AJ12" s="50" t="e">
        <f>IF(AND('Mapa final'!#REF!="Muy Alta",'Mapa final'!#REF!="Catastrófico"),CONCATENATE("R7C",'Mapa final'!#REF!),"")</f>
        <v>#REF!</v>
      </c>
      <c r="AK12" s="50" t="str">
        <f>IF(AND('Mapa final'!$AG$36="Muy Alta",'Mapa final'!$AI$36="Catastrófico"),CONCATENATE("R7C",'Mapa final'!$W$36),"")</f>
        <v/>
      </c>
      <c r="AL12" s="50" t="e">
        <f>IF(AND('Mapa final'!#REF!="Muy Alta",'Mapa final'!#REF!="Catastrófico"),CONCATENATE("R7C",'Mapa final'!#REF!),"")</f>
        <v>#REF!</v>
      </c>
      <c r="AM12" s="51" t="e">
        <f>IF(AND('Mapa final'!#REF!="Muy Alta",'Mapa final'!#REF!="Catastrófico"),CONCATENATE("R7C",'Mapa final'!#REF!),"")</f>
        <v>#REF!</v>
      </c>
      <c r="AN12" s="77"/>
      <c r="AO12" s="792"/>
      <c r="AP12" s="793"/>
      <c r="AQ12" s="793"/>
      <c r="AR12" s="793"/>
      <c r="AS12" s="793"/>
      <c r="AT12" s="794"/>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row>
    <row r="13" spans="1:91" ht="15" customHeight="1" x14ac:dyDescent="0.25">
      <c r="A13" s="77"/>
      <c r="B13" s="731"/>
      <c r="C13" s="731"/>
      <c r="D13" s="732"/>
      <c r="E13" s="772"/>
      <c r="F13" s="773"/>
      <c r="G13" s="773"/>
      <c r="H13" s="773"/>
      <c r="I13" s="774"/>
      <c r="J13" s="46" t="e">
        <f>IF(AND('Mapa final'!#REF!="Muy Alta",'Mapa final'!#REF!="Leve"),CONCATENATE("R8C",'Mapa final'!#REF!),"")</f>
        <v>#REF!</v>
      </c>
      <c r="K13" s="47" t="e">
        <f>IF(AND('Mapa final'!#REF!="Muy Alta",'Mapa final'!#REF!="Leve"),CONCATENATE("R8C",'Mapa final'!#REF!),"")</f>
        <v>#REF!</v>
      </c>
      <c r="L13" s="47" t="e">
        <f>IF(AND('Mapa final'!#REF!="Muy Alta",'Mapa final'!#REF!="Leve"),CONCATENATE("R8C",'Mapa final'!#REF!),"")</f>
        <v>#REF!</v>
      </c>
      <c r="M13" s="47" t="e">
        <f>IF(AND('Mapa final'!#REF!="Muy Alta",'Mapa final'!#REF!="Leve"),CONCATENATE("R8C",'Mapa final'!#REF!),"")</f>
        <v>#REF!</v>
      </c>
      <c r="N13" s="47" t="e">
        <f>IF(AND('Mapa final'!#REF!="Muy Alta",'Mapa final'!#REF!="Leve"),CONCATENATE("R8C",'Mapa final'!#REF!),"")</f>
        <v>#REF!</v>
      </c>
      <c r="O13" s="48" t="e">
        <f>IF(AND('Mapa final'!#REF!="Muy Alta",'Mapa final'!#REF!="Leve"),CONCATENATE("R8C",'Mapa final'!#REF!),"")</f>
        <v>#REF!</v>
      </c>
      <c r="P13" s="46" t="e">
        <f>IF(AND('Mapa final'!#REF!="Muy Alta",'Mapa final'!#REF!="Menor"),CONCATENATE("R8C",'Mapa final'!#REF!),"")</f>
        <v>#REF!</v>
      </c>
      <c r="Q13" s="47" t="e">
        <f>IF(AND('Mapa final'!#REF!="Muy Alta",'Mapa final'!#REF!="Menor"),CONCATENATE("R8C",'Mapa final'!#REF!),"")</f>
        <v>#REF!</v>
      </c>
      <c r="R13" s="47" t="e">
        <f>IF(AND('Mapa final'!#REF!="Muy Alta",'Mapa final'!#REF!="Menor"),CONCATENATE("R8C",'Mapa final'!#REF!),"")</f>
        <v>#REF!</v>
      </c>
      <c r="S13" s="47" t="e">
        <f>IF(AND('Mapa final'!#REF!="Muy Alta",'Mapa final'!#REF!="Menor"),CONCATENATE("R8C",'Mapa final'!#REF!),"")</f>
        <v>#REF!</v>
      </c>
      <c r="T13" s="47" t="e">
        <f>IF(AND('Mapa final'!#REF!="Muy Alta",'Mapa final'!#REF!="Menor"),CONCATENATE("R8C",'Mapa final'!#REF!),"")</f>
        <v>#REF!</v>
      </c>
      <c r="U13" s="48" t="e">
        <f>IF(AND('Mapa final'!#REF!="Muy Alta",'Mapa final'!#REF!="Menor"),CONCATENATE("R8C",'Mapa final'!#REF!),"")</f>
        <v>#REF!</v>
      </c>
      <c r="V13" s="46" t="e">
        <f>IF(AND('Mapa final'!#REF!="Muy Alta",'Mapa final'!#REF!="Moderado"),CONCATENATE("R8C",'Mapa final'!#REF!),"")</f>
        <v>#REF!</v>
      </c>
      <c r="W13" s="47" t="e">
        <f>IF(AND('Mapa final'!#REF!="Muy Alta",'Mapa final'!#REF!="Moderado"),CONCATENATE("R8C",'Mapa final'!#REF!),"")</f>
        <v>#REF!</v>
      </c>
      <c r="X13" s="47" t="e">
        <f>IF(AND('Mapa final'!#REF!="Muy Alta",'Mapa final'!#REF!="Moderado"),CONCATENATE("R8C",'Mapa final'!#REF!),"")</f>
        <v>#REF!</v>
      </c>
      <c r="Y13" s="47" t="e">
        <f>IF(AND('Mapa final'!#REF!="Muy Alta",'Mapa final'!#REF!="Moderado"),CONCATENATE("R8C",'Mapa final'!#REF!),"")</f>
        <v>#REF!</v>
      </c>
      <c r="Z13" s="47" t="e">
        <f>IF(AND('Mapa final'!#REF!="Muy Alta",'Mapa final'!#REF!="Moderado"),CONCATENATE("R8C",'Mapa final'!#REF!),"")</f>
        <v>#REF!</v>
      </c>
      <c r="AA13" s="48" t="e">
        <f>IF(AND('Mapa final'!#REF!="Muy Alta",'Mapa final'!#REF!="Moderado"),CONCATENATE("R8C",'Mapa final'!#REF!),"")</f>
        <v>#REF!</v>
      </c>
      <c r="AB13" s="46" t="e">
        <f>IF(AND('Mapa final'!#REF!="Muy Alta",'Mapa final'!#REF!="Mayor"),CONCATENATE("R8C",'Mapa final'!#REF!),"")</f>
        <v>#REF!</v>
      </c>
      <c r="AC13" s="47" t="e">
        <f>IF(AND('Mapa final'!#REF!="Muy Alta",'Mapa final'!#REF!="Mayor"),CONCATENATE("R8C",'Mapa final'!#REF!),"")</f>
        <v>#REF!</v>
      </c>
      <c r="AD13" s="47" t="e">
        <f>IF(AND('Mapa final'!#REF!="Muy Alta",'Mapa final'!#REF!="Mayor"),CONCATENATE("R8C",'Mapa final'!#REF!),"")</f>
        <v>#REF!</v>
      </c>
      <c r="AE13" s="47" t="e">
        <f>IF(AND('Mapa final'!#REF!="Muy Alta",'Mapa final'!#REF!="Mayor"),CONCATENATE("R8C",'Mapa final'!#REF!),"")</f>
        <v>#REF!</v>
      </c>
      <c r="AF13" s="47" t="e">
        <f>IF(AND('Mapa final'!#REF!="Muy Alta",'Mapa final'!#REF!="Mayor"),CONCATENATE("R8C",'Mapa final'!#REF!),"")</f>
        <v>#REF!</v>
      </c>
      <c r="AG13" s="48" t="e">
        <f>IF(AND('Mapa final'!#REF!="Muy Alta",'Mapa final'!#REF!="Mayor"),CONCATENATE("R8C",'Mapa final'!#REF!),"")</f>
        <v>#REF!</v>
      </c>
      <c r="AH13" s="49" t="e">
        <f>IF(AND('Mapa final'!#REF!="Muy Alta",'Mapa final'!#REF!="Catastrófico"),CONCATENATE("R8C",'Mapa final'!#REF!),"")</f>
        <v>#REF!</v>
      </c>
      <c r="AI13" s="50" t="e">
        <f>IF(AND('Mapa final'!#REF!="Muy Alta",'Mapa final'!#REF!="Catastrófico"),CONCATENATE("R8C",'Mapa final'!#REF!),"")</f>
        <v>#REF!</v>
      </c>
      <c r="AJ13" s="50" t="e">
        <f>IF(AND('Mapa final'!#REF!="Muy Alta",'Mapa final'!#REF!="Catastrófico"),CONCATENATE("R8C",'Mapa final'!#REF!),"")</f>
        <v>#REF!</v>
      </c>
      <c r="AK13" s="50" t="e">
        <f>IF(AND('Mapa final'!#REF!="Muy Alta",'Mapa final'!#REF!="Catastrófico"),CONCATENATE("R8C",'Mapa final'!#REF!),"")</f>
        <v>#REF!</v>
      </c>
      <c r="AL13" s="50" t="e">
        <f>IF(AND('Mapa final'!#REF!="Muy Alta",'Mapa final'!#REF!="Catastrófico"),CONCATENATE("R8C",'Mapa final'!#REF!),"")</f>
        <v>#REF!</v>
      </c>
      <c r="AM13" s="51" t="e">
        <f>IF(AND('Mapa final'!#REF!="Muy Alta",'Mapa final'!#REF!="Catastrófico"),CONCATENATE("R8C",'Mapa final'!#REF!),"")</f>
        <v>#REF!</v>
      </c>
      <c r="AN13" s="77"/>
      <c r="AO13" s="792"/>
      <c r="AP13" s="793"/>
      <c r="AQ13" s="793"/>
      <c r="AR13" s="793"/>
      <c r="AS13" s="793"/>
      <c r="AT13" s="794"/>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row>
    <row r="14" spans="1:91" ht="15" customHeight="1" x14ac:dyDescent="0.25">
      <c r="A14" s="77"/>
      <c r="B14" s="731"/>
      <c r="C14" s="731"/>
      <c r="D14" s="732"/>
      <c r="E14" s="772"/>
      <c r="F14" s="773"/>
      <c r="G14" s="773"/>
      <c r="H14" s="773"/>
      <c r="I14" s="774"/>
      <c r="J14" s="46" t="e">
        <f>IF(AND('Mapa final'!#REF!="Muy Alta",'Mapa final'!#REF!="Leve"),CONCATENATE("R9C",'Mapa final'!#REF!),"")</f>
        <v>#REF!</v>
      </c>
      <c r="K14" s="47" t="e">
        <f>IF(AND('Mapa final'!#REF!="Muy Alta",'Mapa final'!#REF!="Leve"),CONCATENATE("R9C",'Mapa final'!#REF!),"")</f>
        <v>#REF!</v>
      </c>
      <c r="L14" s="47" t="e">
        <f>IF(AND('Mapa final'!#REF!="Muy Alta",'Mapa final'!#REF!="Leve"),CONCATENATE("R9C",'Mapa final'!#REF!),"")</f>
        <v>#REF!</v>
      </c>
      <c r="M14" s="47" t="e">
        <f>IF(AND('Mapa final'!#REF!="Muy Alta",'Mapa final'!#REF!="Leve"),CONCATENATE("R9C",'Mapa final'!#REF!),"")</f>
        <v>#REF!</v>
      </c>
      <c r="N14" s="47" t="str">
        <f>IF(AND('Mapa final'!$AG$48="Muy Alta",'Mapa final'!$AI$48="Leve"),CONCATENATE("R9C",'Mapa final'!$W$48),"")</f>
        <v/>
      </c>
      <c r="O14" s="48" t="str">
        <f>IF(AND('Mapa final'!$AG$49="Muy Alta",'Mapa final'!$AI$49="Leve"),CONCATENATE("R9C",'Mapa final'!$W$49),"")</f>
        <v/>
      </c>
      <c r="P14" s="46" t="e">
        <f>IF(AND('Mapa final'!#REF!="Muy Alta",'Mapa final'!#REF!="Menor"),CONCATENATE("R9C",'Mapa final'!#REF!),"")</f>
        <v>#REF!</v>
      </c>
      <c r="Q14" s="47" t="e">
        <f>IF(AND('Mapa final'!#REF!="Muy Alta",'Mapa final'!#REF!="Menor"),CONCATENATE("R9C",'Mapa final'!#REF!),"")</f>
        <v>#REF!</v>
      </c>
      <c r="R14" s="47" t="e">
        <f>IF(AND('Mapa final'!#REF!="Muy Alta",'Mapa final'!#REF!="Menor"),CONCATENATE("R9C",'Mapa final'!#REF!),"")</f>
        <v>#REF!</v>
      </c>
      <c r="S14" s="47" t="e">
        <f>IF(AND('Mapa final'!#REF!="Muy Alta",'Mapa final'!#REF!="Menor"),CONCATENATE("R9C",'Mapa final'!#REF!),"")</f>
        <v>#REF!</v>
      </c>
      <c r="T14" s="47" t="str">
        <f>IF(AND('Mapa final'!$AG$48="Muy Alta",'Mapa final'!$AI$48="Menor"),CONCATENATE("R9C",'Mapa final'!$W$48),"")</f>
        <v/>
      </c>
      <c r="U14" s="48" t="str">
        <f>IF(AND('Mapa final'!$AG$49="Muy Alta",'Mapa final'!$AI$49="Menor"),CONCATENATE("R9C",'Mapa final'!$W$49),"")</f>
        <v/>
      </c>
      <c r="V14" s="46" t="e">
        <f>IF(AND('Mapa final'!#REF!="Muy Alta",'Mapa final'!#REF!="Moderado"),CONCATENATE("R9C",'Mapa final'!#REF!),"")</f>
        <v>#REF!</v>
      </c>
      <c r="W14" s="47" t="e">
        <f>IF(AND('Mapa final'!#REF!="Muy Alta",'Mapa final'!#REF!="Moderado"),CONCATENATE("R9C",'Mapa final'!#REF!),"")</f>
        <v>#REF!</v>
      </c>
      <c r="X14" s="47" t="e">
        <f>IF(AND('Mapa final'!#REF!="Muy Alta",'Mapa final'!#REF!="Moderado"),CONCATENATE("R9C",'Mapa final'!#REF!),"")</f>
        <v>#REF!</v>
      </c>
      <c r="Y14" s="47" t="e">
        <f>IF(AND('Mapa final'!#REF!="Muy Alta",'Mapa final'!#REF!="Moderado"),CONCATENATE("R9C",'Mapa final'!#REF!),"")</f>
        <v>#REF!</v>
      </c>
      <c r="Z14" s="47" t="str">
        <f>IF(AND('Mapa final'!$AG$48="Muy Alta",'Mapa final'!$AI$48="Moderado"),CONCATENATE("R9C",'Mapa final'!$W$48),"")</f>
        <v/>
      </c>
      <c r="AA14" s="48" t="str">
        <f>IF(AND('Mapa final'!$AG$49="Muy Alta",'Mapa final'!$AI$49="Moderado"),CONCATENATE("R9C",'Mapa final'!$W$49),"")</f>
        <v/>
      </c>
      <c r="AB14" s="46" t="e">
        <f>IF(AND('Mapa final'!#REF!="Muy Alta",'Mapa final'!#REF!="Mayor"),CONCATENATE("R9C",'Mapa final'!#REF!),"")</f>
        <v>#REF!</v>
      </c>
      <c r="AC14" s="47" t="e">
        <f>IF(AND('Mapa final'!#REF!="Muy Alta",'Mapa final'!#REF!="Mayor"),CONCATENATE("R9C",'Mapa final'!#REF!),"")</f>
        <v>#REF!</v>
      </c>
      <c r="AD14" s="47" t="e">
        <f>IF(AND('Mapa final'!#REF!="Muy Alta",'Mapa final'!#REF!="Mayor"),CONCATENATE("R9C",'Mapa final'!#REF!),"")</f>
        <v>#REF!</v>
      </c>
      <c r="AE14" s="47" t="e">
        <f>IF(AND('Mapa final'!#REF!="Muy Alta",'Mapa final'!#REF!="Mayor"),CONCATENATE("R9C",'Mapa final'!#REF!),"")</f>
        <v>#REF!</v>
      </c>
      <c r="AF14" s="47" t="str">
        <f>IF(AND('Mapa final'!$AG$48="Muy Alta",'Mapa final'!$AI$48="Mayor"),CONCATENATE("R9C",'Mapa final'!$W$48),"")</f>
        <v/>
      </c>
      <c r="AG14" s="48" t="str">
        <f>IF(AND('Mapa final'!$AG$49="Muy Alta",'Mapa final'!$AI$49="Mayor"),CONCATENATE("R9C",'Mapa final'!$W$49),"")</f>
        <v/>
      </c>
      <c r="AH14" s="49" t="e">
        <f>IF(AND('Mapa final'!#REF!="Muy Alta",'Mapa final'!#REF!="Catastrófico"),CONCATENATE("R9C",'Mapa final'!#REF!),"")</f>
        <v>#REF!</v>
      </c>
      <c r="AI14" s="50" t="e">
        <f>IF(AND('Mapa final'!#REF!="Muy Alta",'Mapa final'!#REF!="Catastrófico"),CONCATENATE("R9C",'Mapa final'!#REF!),"")</f>
        <v>#REF!</v>
      </c>
      <c r="AJ14" s="50" t="e">
        <f>IF(AND('Mapa final'!#REF!="Muy Alta",'Mapa final'!#REF!="Catastrófico"),CONCATENATE("R9C",'Mapa final'!#REF!),"")</f>
        <v>#REF!</v>
      </c>
      <c r="AK14" s="50" t="e">
        <f>IF(AND('Mapa final'!#REF!="Muy Alta",'Mapa final'!#REF!="Catastrófico"),CONCATENATE("R9C",'Mapa final'!#REF!),"")</f>
        <v>#REF!</v>
      </c>
      <c r="AL14" s="50" t="str">
        <f>IF(AND('Mapa final'!$AG$48="Muy Alta",'Mapa final'!$AI$48="Catastrófico"),CONCATENATE("R9C",'Mapa final'!$W$48),"")</f>
        <v/>
      </c>
      <c r="AM14" s="51" t="str">
        <f>IF(AND('Mapa final'!$AG$49="Muy Alta",'Mapa final'!$AI$49="Catastrófico"),CONCATENATE("R9C",'Mapa final'!$W$49),"")</f>
        <v/>
      </c>
      <c r="AN14" s="77"/>
      <c r="AO14" s="792"/>
      <c r="AP14" s="793"/>
      <c r="AQ14" s="793"/>
      <c r="AR14" s="793"/>
      <c r="AS14" s="793"/>
      <c r="AT14" s="794"/>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row>
    <row r="15" spans="1:91" ht="15.75" customHeight="1" thickBot="1" x14ac:dyDescent="0.3">
      <c r="A15" s="77"/>
      <c r="B15" s="731"/>
      <c r="C15" s="731"/>
      <c r="D15" s="732"/>
      <c r="E15" s="775"/>
      <c r="F15" s="776"/>
      <c r="G15" s="776"/>
      <c r="H15" s="776"/>
      <c r="I15" s="777"/>
      <c r="J15" s="52" t="e">
        <f>IF(AND('Mapa final'!#REF!="Muy Alta",'Mapa final'!#REF!="Leve"),CONCATENATE("R10C",'Mapa final'!#REF!),"")</f>
        <v>#REF!</v>
      </c>
      <c r="K15" s="53" t="e">
        <f>IF(AND('Mapa final'!#REF!="Muy Alta",'Mapa final'!#REF!="Leve"),CONCATENATE("R10C",'Mapa final'!#REF!),"")</f>
        <v>#REF!</v>
      </c>
      <c r="L15" s="53" t="e">
        <f>IF(AND('Mapa final'!#REF!="Muy Alta",'Mapa final'!#REF!="Leve"),CONCATENATE("R10C",'Mapa final'!#REF!),"")</f>
        <v>#REF!</v>
      </c>
      <c r="M15" s="53" t="e">
        <f>IF(AND('Mapa final'!#REF!="Muy Alta",'Mapa final'!#REF!="Leve"),CONCATENATE("R10C",'Mapa final'!#REF!),"")</f>
        <v>#REF!</v>
      </c>
      <c r="N15" s="53" t="e">
        <f>IF(AND('Mapa final'!#REF!="Muy Alta",'Mapa final'!#REF!="Leve"),CONCATENATE("R10C",'Mapa final'!#REF!),"")</f>
        <v>#REF!</v>
      </c>
      <c r="O15" s="54" t="e">
        <f>IF(AND('Mapa final'!#REF!="Muy Alta",'Mapa final'!#REF!="Leve"),CONCATENATE("R10C",'Mapa final'!#REF!),"")</f>
        <v>#REF!</v>
      </c>
      <c r="P15" s="46" t="e">
        <f>IF(AND('Mapa final'!#REF!="Muy Alta",'Mapa final'!#REF!="Menor"),CONCATENATE("R10C",'Mapa final'!#REF!),"")</f>
        <v>#REF!</v>
      </c>
      <c r="Q15" s="47" t="e">
        <f>IF(AND('Mapa final'!#REF!="Muy Alta",'Mapa final'!#REF!="Menor"),CONCATENATE("R10C",'Mapa final'!#REF!),"")</f>
        <v>#REF!</v>
      </c>
      <c r="R15" s="47" t="e">
        <f>IF(AND('Mapa final'!#REF!="Muy Alta",'Mapa final'!#REF!="Menor"),CONCATENATE("R10C",'Mapa final'!#REF!),"")</f>
        <v>#REF!</v>
      </c>
      <c r="S15" s="47" t="e">
        <f>IF(AND('Mapa final'!#REF!="Muy Alta",'Mapa final'!#REF!="Menor"),CONCATENATE("R10C",'Mapa final'!#REF!),"")</f>
        <v>#REF!</v>
      </c>
      <c r="T15" s="47" t="e">
        <f>IF(AND('Mapa final'!#REF!="Muy Alta",'Mapa final'!#REF!="Menor"),CONCATENATE("R10C",'Mapa final'!#REF!),"")</f>
        <v>#REF!</v>
      </c>
      <c r="U15" s="48" t="e">
        <f>IF(AND('Mapa final'!#REF!="Muy Alta",'Mapa final'!#REF!="Menor"),CONCATENATE("R10C",'Mapa final'!#REF!),"")</f>
        <v>#REF!</v>
      </c>
      <c r="V15" s="52" t="e">
        <f>IF(AND('Mapa final'!#REF!="Muy Alta",'Mapa final'!#REF!="Moderado"),CONCATENATE("R10C",'Mapa final'!#REF!),"")</f>
        <v>#REF!</v>
      </c>
      <c r="W15" s="53" t="e">
        <f>IF(AND('Mapa final'!#REF!="Muy Alta",'Mapa final'!#REF!="Moderado"),CONCATENATE("R10C",'Mapa final'!#REF!),"")</f>
        <v>#REF!</v>
      </c>
      <c r="X15" s="53" t="e">
        <f>IF(AND('Mapa final'!#REF!="Muy Alta",'Mapa final'!#REF!="Moderado"),CONCATENATE("R10C",'Mapa final'!#REF!),"")</f>
        <v>#REF!</v>
      </c>
      <c r="Y15" s="53" t="e">
        <f>IF(AND('Mapa final'!#REF!="Muy Alta",'Mapa final'!#REF!="Moderado"),CONCATENATE("R10C",'Mapa final'!#REF!),"")</f>
        <v>#REF!</v>
      </c>
      <c r="Z15" s="53" t="e">
        <f>IF(AND('Mapa final'!#REF!="Muy Alta",'Mapa final'!#REF!="Moderado"),CONCATENATE("R10C",'Mapa final'!#REF!),"")</f>
        <v>#REF!</v>
      </c>
      <c r="AA15" s="54" t="e">
        <f>IF(AND('Mapa final'!#REF!="Muy Alta",'Mapa final'!#REF!="Moderado"),CONCATENATE("R10C",'Mapa final'!#REF!),"")</f>
        <v>#REF!</v>
      </c>
      <c r="AB15" s="46" t="e">
        <f>IF(AND('Mapa final'!#REF!="Muy Alta",'Mapa final'!#REF!="Mayor"),CONCATENATE("R10C",'Mapa final'!#REF!),"")</f>
        <v>#REF!</v>
      </c>
      <c r="AC15" s="47" t="e">
        <f>IF(AND('Mapa final'!#REF!="Muy Alta",'Mapa final'!#REF!="Mayor"),CONCATENATE("R10C",'Mapa final'!#REF!),"")</f>
        <v>#REF!</v>
      </c>
      <c r="AD15" s="47" t="e">
        <f>IF(AND('Mapa final'!#REF!="Muy Alta",'Mapa final'!#REF!="Mayor"),CONCATENATE("R10C",'Mapa final'!#REF!),"")</f>
        <v>#REF!</v>
      </c>
      <c r="AE15" s="47" t="e">
        <f>IF(AND('Mapa final'!#REF!="Muy Alta",'Mapa final'!#REF!="Mayor"),CONCATENATE("R10C",'Mapa final'!#REF!),"")</f>
        <v>#REF!</v>
      </c>
      <c r="AF15" s="47" t="e">
        <f>IF(AND('Mapa final'!#REF!="Muy Alta",'Mapa final'!#REF!="Mayor"),CONCATENATE("R10C",'Mapa final'!#REF!),"")</f>
        <v>#REF!</v>
      </c>
      <c r="AG15" s="48" t="e">
        <f>IF(AND('Mapa final'!#REF!="Muy Alta",'Mapa final'!#REF!="Mayor"),CONCATENATE("R10C",'Mapa final'!#REF!),"")</f>
        <v>#REF!</v>
      </c>
      <c r="AH15" s="55" t="e">
        <f>IF(AND('Mapa final'!#REF!="Muy Alta",'Mapa final'!#REF!="Catastrófico"),CONCATENATE("R10C",'Mapa final'!#REF!),"")</f>
        <v>#REF!</v>
      </c>
      <c r="AI15" s="56" t="e">
        <f>IF(AND('Mapa final'!#REF!="Muy Alta",'Mapa final'!#REF!="Catastrófico"),CONCATENATE("R10C",'Mapa final'!#REF!),"")</f>
        <v>#REF!</v>
      </c>
      <c r="AJ15" s="56" t="e">
        <f>IF(AND('Mapa final'!#REF!="Muy Alta",'Mapa final'!#REF!="Catastrófico"),CONCATENATE("R10C",'Mapa final'!#REF!),"")</f>
        <v>#REF!</v>
      </c>
      <c r="AK15" s="56" t="e">
        <f>IF(AND('Mapa final'!#REF!="Muy Alta",'Mapa final'!#REF!="Catastrófico"),CONCATENATE("R10C",'Mapa final'!#REF!),"")</f>
        <v>#REF!</v>
      </c>
      <c r="AL15" s="56" t="e">
        <f>IF(AND('Mapa final'!#REF!="Muy Alta",'Mapa final'!#REF!="Catastrófico"),CONCATENATE("R10C",'Mapa final'!#REF!),"")</f>
        <v>#REF!</v>
      </c>
      <c r="AM15" s="57" t="e">
        <f>IF(AND('Mapa final'!#REF!="Muy Alta",'Mapa final'!#REF!="Catastrófico"),CONCATENATE("R10C",'Mapa final'!#REF!),"")</f>
        <v>#REF!</v>
      </c>
      <c r="AN15" s="77"/>
      <c r="AO15" s="795"/>
      <c r="AP15" s="796"/>
      <c r="AQ15" s="796"/>
      <c r="AR15" s="796"/>
      <c r="AS15" s="796"/>
      <c r="AT15" s="79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row>
    <row r="16" spans="1:91" ht="15" customHeight="1" x14ac:dyDescent="0.25">
      <c r="A16" s="77"/>
      <c r="B16" s="731"/>
      <c r="C16" s="731"/>
      <c r="D16" s="732"/>
      <c r="E16" s="769" t="s">
        <v>538</v>
      </c>
      <c r="F16" s="770"/>
      <c r="G16" s="770"/>
      <c r="H16" s="770"/>
      <c r="I16" s="770"/>
      <c r="J16" s="58" t="e">
        <f>IF(AND('Mapa final'!#REF!="Alta",'Mapa final'!#REF!="Leve"),CONCATENATE("R1C",'Mapa final'!#REF!),"")</f>
        <v>#REF!</v>
      </c>
      <c r="K16" s="59" t="e">
        <f>IF(AND('Mapa final'!#REF!="Alta",'Mapa final'!#REF!="Leve"),CONCATENATE("R1C",'Mapa final'!#REF!),"")</f>
        <v>#REF!</v>
      </c>
      <c r="L16" s="59" t="e">
        <f>IF(AND('Mapa final'!#REF!="Alta",'Mapa final'!#REF!="Leve"),CONCATENATE("R1C",'Mapa final'!#REF!),"")</f>
        <v>#REF!</v>
      </c>
      <c r="M16" s="59" t="e">
        <f>IF(AND('Mapa final'!#REF!="Alta",'Mapa final'!#REF!="Leve"),CONCATENATE("R1C",'Mapa final'!#REF!),"")</f>
        <v>#REF!</v>
      </c>
      <c r="N16" s="59" t="e">
        <f>IF(AND('Mapa final'!#REF!="Alta",'Mapa final'!#REF!="Leve"),CONCATENATE("R1C",'Mapa final'!#REF!),"")</f>
        <v>#REF!</v>
      </c>
      <c r="O16" s="60" t="e">
        <f>IF(AND('Mapa final'!#REF!="Alta",'Mapa final'!#REF!="Leve"),CONCATENATE("R1C",'Mapa final'!#REF!),"")</f>
        <v>#REF!</v>
      </c>
      <c r="P16" s="58" t="e">
        <f>IF(AND('Mapa final'!#REF!="Alta",'Mapa final'!#REF!="Menor"),CONCATENATE("R1C",'Mapa final'!#REF!),"")</f>
        <v>#REF!</v>
      </c>
      <c r="Q16" s="59" t="e">
        <f>IF(AND('Mapa final'!#REF!="Alta",'Mapa final'!#REF!="Menor"),CONCATENATE("R1C",'Mapa final'!#REF!),"")</f>
        <v>#REF!</v>
      </c>
      <c r="R16" s="59" t="e">
        <f>IF(AND('Mapa final'!#REF!="Alta",'Mapa final'!#REF!="Menor"),CONCATENATE("R1C",'Mapa final'!#REF!),"")</f>
        <v>#REF!</v>
      </c>
      <c r="S16" s="59" t="e">
        <f>IF(AND('Mapa final'!#REF!="Alta",'Mapa final'!#REF!="Menor"),CONCATENATE("R1C",'Mapa final'!#REF!),"")</f>
        <v>#REF!</v>
      </c>
      <c r="T16" s="59" t="e">
        <f>IF(AND('Mapa final'!#REF!="Alta",'Mapa final'!#REF!="Menor"),CONCATENATE("R1C",'Mapa final'!#REF!),"")</f>
        <v>#REF!</v>
      </c>
      <c r="U16" s="60" t="e">
        <f>IF(AND('Mapa final'!#REF!="Alta",'Mapa final'!#REF!="Menor"),CONCATENATE("R1C",'Mapa final'!#REF!),"")</f>
        <v>#REF!</v>
      </c>
      <c r="V16" s="40" t="e">
        <f>IF(AND('Mapa final'!#REF!="Alta",'Mapa final'!#REF!="Moderado"),CONCATENATE("R1C",'Mapa final'!#REF!),"")</f>
        <v>#REF!</v>
      </c>
      <c r="W16" s="41" t="e">
        <f>IF(AND('Mapa final'!#REF!="Alta",'Mapa final'!#REF!="Moderado"),CONCATENATE("R1C",'Mapa final'!#REF!),"")</f>
        <v>#REF!</v>
      </c>
      <c r="X16" s="41" t="e">
        <f>IF(AND('Mapa final'!#REF!="Alta",'Mapa final'!#REF!="Moderado"),CONCATENATE("R1C",'Mapa final'!#REF!),"")</f>
        <v>#REF!</v>
      </c>
      <c r="Y16" s="41" t="e">
        <f>IF(AND('Mapa final'!#REF!="Alta",'Mapa final'!#REF!="Moderado"),CONCATENATE("R1C",'Mapa final'!#REF!),"")</f>
        <v>#REF!</v>
      </c>
      <c r="Z16" s="41" t="e">
        <f>IF(AND('Mapa final'!#REF!="Alta",'Mapa final'!#REF!="Moderado"),CONCATENATE("R1C",'Mapa final'!#REF!),"")</f>
        <v>#REF!</v>
      </c>
      <c r="AA16" s="42" t="e">
        <f>IF(AND('Mapa final'!#REF!="Alta",'Mapa final'!#REF!="Moderado"),CONCATENATE("R1C",'Mapa final'!#REF!),"")</f>
        <v>#REF!</v>
      </c>
      <c r="AB16" s="40" t="e">
        <f>IF(AND('Mapa final'!#REF!="Alta",'Mapa final'!#REF!="Mayor"),CONCATENATE("R1C",'Mapa final'!#REF!),"")</f>
        <v>#REF!</v>
      </c>
      <c r="AC16" s="41" t="e">
        <f>IF(AND('Mapa final'!#REF!="Alta",'Mapa final'!#REF!="Mayor"),CONCATENATE("R1C",'Mapa final'!#REF!),"")</f>
        <v>#REF!</v>
      </c>
      <c r="AD16" s="41" t="e">
        <f>IF(AND('Mapa final'!#REF!="Alta",'Mapa final'!#REF!="Mayor"),CONCATENATE("R1C",'Mapa final'!#REF!),"")</f>
        <v>#REF!</v>
      </c>
      <c r="AE16" s="41" t="e">
        <f>IF(AND('Mapa final'!#REF!="Alta",'Mapa final'!#REF!="Mayor"),CONCATENATE("R1C",'Mapa final'!#REF!),"")</f>
        <v>#REF!</v>
      </c>
      <c r="AF16" s="41" t="e">
        <f>IF(AND('Mapa final'!#REF!="Alta",'Mapa final'!#REF!="Mayor"),CONCATENATE("R1C",'Mapa final'!#REF!),"")</f>
        <v>#REF!</v>
      </c>
      <c r="AG16" s="42" t="e">
        <f>IF(AND('Mapa final'!#REF!="Alta",'Mapa final'!#REF!="Mayor"),CONCATENATE("R1C",'Mapa final'!#REF!),"")</f>
        <v>#REF!</v>
      </c>
      <c r="AH16" s="43" t="e">
        <f>IF(AND('Mapa final'!#REF!="Alta",'Mapa final'!#REF!="Catastrófico"),CONCATENATE("R1C",'Mapa final'!#REF!),"")</f>
        <v>#REF!</v>
      </c>
      <c r="AI16" s="44" t="e">
        <f>IF(AND('Mapa final'!#REF!="Alta",'Mapa final'!#REF!="Catastrófico"),CONCATENATE("R1C",'Mapa final'!#REF!),"")</f>
        <v>#REF!</v>
      </c>
      <c r="AJ16" s="44" t="e">
        <f>IF(AND('Mapa final'!#REF!="Alta",'Mapa final'!#REF!="Catastrófico"),CONCATENATE("R1C",'Mapa final'!#REF!),"")</f>
        <v>#REF!</v>
      </c>
      <c r="AK16" s="44" t="e">
        <f>IF(AND('Mapa final'!#REF!="Alta",'Mapa final'!#REF!="Catastrófico"),CONCATENATE("R1C",'Mapa final'!#REF!),"")</f>
        <v>#REF!</v>
      </c>
      <c r="AL16" s="44" t="e">
        <f>IF(AND('Mapa final'!#REF!="Alta",'Mapa final'!#REF!="Catastrófico"),CONCATENATE("R1C",'Mapa final'!#REF!),"")</f>
        <v>#REF!</v>
      </c>
      <c r="AM16" s="45" t="e">
        <f>IF(AND('Mapa final'!#REF!="Alta",'Mapa final'!#REF!="Catastrófico"),CONCATENATE("R1C",'Mapa final'!#REF!),"")</f>
        <v>#REF!</v>
      </c>
      <c r="AN16" s="77"/>
      <c r="AO16" s="779" t="s">
        <v>482</v>
      </c>
      <c r="AP16" s="780"/>
      <c r="AQ16" s="780"/>
      <c r="AR16" s="780"/>
      <c r="AS16" s="780"/>
      <c r="AT16" s="781"/>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row>
    <row r="17" spans="1:76" ht="15" customHeight="1" x14ac:dyDescent="0.25">
      <c r="A17" s="77"/>
      <c r="B17" s="731"/>
      <c r="C17" s="731"/>
      <c r="D17" s="732"/>
      <c r="E17" s="788"/>
      <c r="F17" s="773"/>
      <c r="G17" s="773"/>
      <c r="H17" s="773"/>
      <c r="I17" s="773"/>
      <c r="J17" s="61" t="e">
        <f>IF(AND('Mapa final'!#REF!="Alta",'Mapa final'!#REF!="Leve"),CONCATENATE("R2C",'Mapa final'!#REF!),"")</f>
        <v>#REF!</v>
      </c>
      <c r="K17" s="62" t="e">
        <f>IF(AND('Mapa final'!#REF!="Alta",'Mapa final'!#REF!="Leve"),CONCATENATE("R2C",'Mapa final'!#REF!),"")</f>
        <v>#REF!</v>
      </c>
      <c r="L17" s="62" t="e">
        <f>IF(AND('Mapa final'!#REF!="Alta",'Mapa final'!#REF!="Leve"),CONCATENATE("R2C",'Mapa final'!#REF!),"")</f>
        <v>#REF!</v>
      </c>
      <c r="M17" s="62" t="e">
        <f>IF(AND('Mapa final'!#REF!="Alta",'Mapa final'!#REF!="Leve"),CONCATENATE("R2C",'Mapa final'!#REF!),"")</f>
        <v>#REF!</v>
      </c>
      <c r="N17" s="62" t="e">
        <f>IF(AND('Mapa final'!#REF!="Alta",'Mapa final'!#REF!="Leve"),CONCATENATE("R2C",'Mapa final'!#REF!),"")</f>
        <v>#REF!</v>
      </c>
      <c r="O17" s="63" t="str">
        <f>IF(AND('Mapa final'!$AG$17="Alta",'Mapa final'!$AI$17="Leve"),CONCATENATE("R2C",'Mapa final'!$W$17),"")</f>
        <v/>
      </c>
      <c r="P17" s="61" t="e">
        <f>IF(AND('Mapa final'!#REF!="Alta",'Mapa final'!#REF!="Menor"),CONCATENATE("R2C",'Mapa final'!#REF!),"")</f>
        <v>#REF!</v>
      </c>
      <c r="Q17" s="62" t="e">
        <f>IF(AND('Mapa final'!#REF!="Alta",'Mapa final'!#REF!="Menor"),CONCATENATE("R2C",'Mapa final'!#REF!),"")</f>
        <v>#REF!</v>
      </c>
      <c r="R17" s="62" t="e">
        <f>IF(AND('Mapa final'!#REF!="Alta",'Mapa final'!#REF!="Menor"),CONCATENATE("R2C",'Mapa final'!#REF!),"")</f>
        <v>#REF!</v>
      </c>
      <c r="S17" s="62" t="e">
        <f>IF(AND('Mapa final'!#REF!="Alta",'Mapa final'!#REF!="Menor"),CONCATENATE("R2C",'Mapa final'!#REF!),"")</f>
        <v>#REF!</v>
      </c>
      <c r="T17" s="62" t="e">
        <f>IF(AND('Mapa final'!#REF!="Alta",'Mapa final'!#REF!="Menor"),CONCATENATE("R2C",'Mapa final'!#REF!),"")</f>
        <v>#REF!</v>
      </c>
      <c r="U17" s="63" t="str">
        <f>IF(AND('Mapa final'!$AG$17="Alta",'Mapa final'!$AI$17="Menor"),CONCATENATE("R2C",'Mapa final'!$W$17),"")</f>
        <v/>
      </c>
      <c r="V17" s="46" t="e">
        <f>IF(AND('Mapa final'!#REF!="Alta",'Mapa final'!#REF!="Moderado"),CONCATENATE("R2C",'Mapa final'!#REF!),"")</f>
        <v>#REF!</v>
      </c>
      <c r="W17" s="47" t="e">
        <f>IF(AND('Mapa final'!#REF!="Alta",'Mapa final'!#REF!="Moderado"),CONCATENATE("R2C",'Mapa final'!#REF!),"")</f>
        <v>#REF!</v>
      </c>
      <c r="X17" s="47" t="e">
        <f>IF(AND('Mapa final'!#REF!="Alta",'Mapa final'!#REF!="Moderado"),CONCATENATE("R2C",'Mapa final'!#REF!),"")</f>
        <v>#REF!</v>
      </c>
      <c r="Y17" s="47" t="e">
        <f>IF(AND('Mapa final'!#REF!="Alta",'Mapa final'!#REF!="Moderado"),CONCATENATE("R2C",'Mapa final'!#REF!),"")</f>
        <v>#REF!</v>
      </c>
      <c r="Z17" s="47" t="e">
        <f>IF(AND('Mapa final'!#REF!="Alta",'Mapa final'!#REF!="Moderado"),CONCATENATE("R2C",'Mapa final'!#REF!),"")</f>
        <v>#REF!</v>
      </c>
      <c r="AA17" s="48" t="str">
        <f>IF(AND('Mapa final'!$AG$17="Alta",'Mapa final'!$AI$17="Moderado"),CONCATENATE("R2C",'Mapa final'!$W$17),"")</f>
        <v/>
      </c>
      <c r="AB17" s="46" t="e">
        <f>IF(AND('Mapa final'!#REF!="Alta",'Mapa final'!#REF!="Mayor"),CONCATENATE("R2C",'Mapa final'!#REF!),"")</f>
        <v>#REF!</v>
      </c>
      <c r="AC17" s="47" t="e">
        <f>IF(AND('Mapa final'!#REF!="Alta",'Mapa final'!#REF!="Mayor"),CONCATENATE("R2C",'Mapa final'!#REF!),"")</f>
        <v>#REF!</v>
      </c>
      <c r="AD17" s="47" t="e">
        <f>IF(AND('Mapa final'!#REF!="Alta",'Mapa final'!#REF!="Mayor"),CONCATENATE("R2C",'Mapa final'!#REF!),"")</f>
        <v>#REF!</v>
      </c>
      <c r="AE17" s="47" t="e">
        <f>IF(AND('Mapa final'!#REF!="Alta",'Mapa final'!#REF!="Mayor"),CONCATENATE("R2C",'Mapa final'!#REF!),"")</f>
        <v>#REF!</v>
      </c>
      <c r="AF17" s="47" t="e">
        <f>IF(AND('Mapa final'!#REF!="Alta",'Mapa final'!#REF!="Mayor"),CONCATENATE("R2C",'Mapa final'!#REF!),"")</f>
        <v>#REF!</v>
      </c>
      <c r="AG17" s="48" t="str">
        <f>IF(AND('Mapa final'!$AG$17="Alta",'Mapa final'!$AI$17="Mayor"),CONCATENATE("R2C",'Mapa final'!$W$17),"")</f>
        <v/>
      </c>
      <c r="AH17" s="49" t="e">
        <f>IF(AND('Mapa final'!#REF!="Alta",'Mapa final'!#REF!="Catastrófico"),CONCATENATE("R2C",'Mapa final'!#REF!),"")</f>
        <v>#REF!</v>
      </c>
      <c r="AI17" s="50" t="e">
        <f>IF(AND('Mapa final'!#REF!="Alta",'Mapa final'!#REF!="Catastrófico"),CONCATENATE("R2C",'Mapa final'!#REF!),"")</f>
        <v>#REF!</v>
      </c>
      <c r="AJ17" s="50" t="e">
        <f>IF(AND('Mapa final'!#REF!="Alta",'Mapa final'!#REF!="Catastrófico"),CONCATENATE("R2C",'Mapa final'!#REF!),"")</f>
        <v>#REF!</v>
      </c>
      <c r="AK17" s="50" t="e">
        <f>IF(AND('Mapa final'!#REF!="Alta",'Mapa final'!#REF!="Catastrófico"),CONCATENATE("R2C",'Mapa final'!#REF!),"")</f>
        <v>#REF!</v>
      </c>
      <c r="AL17" s="50" t="e">
        <f>IF(AND('Mapa final'!#REF!="Alta",'Mapa final'!#REF!="Catastrófico"),CONCATENATE("R2C",'Mapa final'!#REF!),"")</f>
        <v>#REF!</v>
      </c>
      <c r="AM17" s="51" t="str">
        <f>IF(AND('Mapa final'!$AG$17="Alta",'Mapa final'!$AI$17="Catastrófico"),CONCATENATE("R2C",'Mapa final'!$W$17),"")</f>
        <v/>
      </c>
      <c r="AN17" s="77"/>
      <c r="AO17" s="782"/>
      <c r="AP17" s="783"/>
      <c r="AQ17" s="783"/>
      <c r="AR17" s="783"/>
      <c r="AS17" s="783"/>
      <c r="AT17" s="784"/>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row>
    <row r="18" spans="1:76" ht="15" customHeight="1" x14ac:dyDescent="0.25">
      <c r="A18" s="77"/>
      <c r="B18" s="731"/>
      <c r="C18" s="731"/>
      <c r="D18" s="732"/>
      <c r="E18" s="772"/>
      <c r="F18" s="773"/>
      <c r="G18" s="773"/>
      <c r="H18" s="773"/>
      <c r="I18" s="773"/>
      <c r="J18" s="61" t="str">
        <f>IF(AND('Mapa final'!$AG$18="Alta",'Mapa final'!$AI$18="Leve"),CONCATENATE("R3C",'Mapa final'!$W$18),"")</f>
        <v/>
      </c>
      <c r="K18" s="62" t="str">
        <f>IF(AND('Mapa final'!$AG$19="Alta",'Mapa final'!$AI$19="Leve"),CONCATENATE("R3C",'Mapa final'!$W$19),"")</f>
        <v/>
      </c>
      <c r="L18" s="62" t="str">
        <f>IF(AND('Mapa final'!$AG$20="Alta",'Mapa final'!$AI$20="Leve"),CONCATENATE("R3C",'Mapa final'!$W$20),"")</f>
        <v/>
      </c>
      <c r="M18" s="62" t="str">
        <f>IF(AND('Mapa final'!$AG$21="Alta",'Mapa final'!$AI$21="Leve"),CONCATENATE("R3C",'Mapa final'!$W$21),"")</f>
        <v/>
      </c>
      <c r="N18" s="62" t="e">
        <f>IF(AND('Mapa final'!#REF!="Alta",'Mapa final'!#REF!="Leve"),CONCATENATE("R3C",'Mapa final'!#REF!),"")</f>
        <v>#REF!</v>
      </c>
      <c r="O18" s="63" t="e">
        <f>IF(AND('Mapa final'!#REF!="Alta",'Mapa final'!#REF!="Leve"),CONCATENATE("R3C",'Mapa final'!#REF!),"")</f>
        <v>#REF!</v>
      </c>
      <c r="P18" s="61" t="str">
        <f>IF(AND('Mapa final'!$AG$18="Alta",'Mapa final'!$AI$18="Menor"),CONCATENATE("R3C",'Mapa final'!$W$18),"")</f>
        <v/>
      </c>
      <c r="Q18" s="62" t="str">
        <f>IF(AND('Mapa final'!$AG$19="Alta",'Mapa final'!$AI$19="Menor"),CONCATENATE("R3C",'Mapa final'!$W$19),"")</f>
        <v/>
      </c>
      <c r="R18" s="62" t="str">
        <f>IF(AND('Mapa final'!$AG$20="Alta",'Mapa final'!$AI$20="Menor"),CONCATENATE("R3C",'Mapa final'!$W$20),"")</f>
        <v/>
      </c>
      <c r="S18" s="62" t="str">
        <f>IF(AND('Mapa final'!$AG$21="Alta",'Mapa final'!$AI$21="Menor"),CONCATENATE("R3C",'Mapa final'!$W$21),"")</f>
        <v/>
      </c>
      <c r="T18" s="62" t="e">
        <f>IF(AND('Mapa final'!#REF!="Alta",'Mapa final'!#REF!="Menor"),CONCATENATE("R3C",'Mapa final'!#REF!),"")</f>
        <v>#REF!</v>
      </c>
      <c r="U18" s="63" t="e">
        <f>IF(AND('Mapa final'!#REF!="Alta",'Mapa final'!#REF!="Menor"),CONCATENATE("R3C",'Mapa final'!#REF!),"")</f>
        <v>#REF!</v>
      </c>
      <c r="V18" s="46" t="str">
        <f>IF(AND('Mapa final'!$AG$18="Alta",'Mapa final'!$AI$18="Moderado"),CONCATENATE("R3C",'Mapa final'!$W$18),"")</f>
        <v/>
      </c>
      <c r="W18" s="47" t="str">
        <f>IF(AND('Mapa final'!$AG$19="Alta",'Mapa final'!$AI$19="Moderado"),CONCATENATE("R3C",'Mapa final'!$W$19),"")</f>
        <v/>
      </c>
      <c r="X18" s="47" t="str">
        <f>IF(AND('Mapa final'!$AG$20="Alta",'Mapa final'!$AI$20="Moderado"),CONCATENATE("R3C",'Mapa final'!$W$20),"")</f>
        <v/>
      </c>
      <c r="Y18" s="47" t="str">
        <f>IF(AND('Mapa final'!$AG$21="Alta",'Mapa final'!$AI$21="Moderado"),CONCATENATE("R3C",'Mapa final'!$W$21),"")</f>
        <v/>
      </c>
      <c r="Z18" s="47" t="e">
        <f>IF(AND('Mapa final'!#REF!="Alta",'Mapa final'!#REF!="Moderado"),CONCATENATE("R3C",'Mapa final'!#REF!),"")</f>
        <v>#REF!</v>
      </c>
      <c r="AA18" s="48" t="e">
        <f>IF(AND('Mapa final'!#REF!="Alta",'Mapa final'!#REF!="Moderado"),CONCATENATE("R3C",'Mapa final'!#REF!),"")</f>
        <v>#REF!</v>
      </c>
      <c r="AB18" s="46" t="str">
        <f>IF(AND('Mapa final'!$AG$18="Alta",'Mapa final'!$AI$18="Mayor"),CONCATENATE("R3C",'Mapa final'!$W$18),"")</f>
        <v/>
      </c>
      <c r="AC18" s="47" t="str">
        <f>IF(AND('Mapa final'!$AG$19="Alta",'Mapa final'!$AI$19="Mayor"),CONCATENATE("R3C",'Mapa final'!$W$19),"")</f>
        <v/>
      </c>
      <c r="AD18" s="47" t="str">
        <f>IF(AND('Mapa final'!$AG$20="Alta",'Mapa final'!$AI$20="Mayor"),CONCATENATE("R3C",'Mapa final'!$W$20),"")</f>
        <v/>
      </c>
      <c r="AE18" s="47" t="str">
        <f>IF(AND('Mapa final'!$AG$21="Alta",'Mapa final'!$AI$21="Mayor"),CONCATENATE("R3C",'Mapa final'!$W$21),"")</f>
        <v/>
      </c>
      <c r="AF18" s="47" t="e">
        <f>IF(AND('Mapa final'!#REF!="Alta",'Mapa final'!#REF!="Mayor"),CONCATENATE("R3C",'Mapa final'!#REF!),"")</f>
        <v>#REF!</v>
      </c>
      <c r="AG18" s="48" t="e">
        <f>IF(AND('Mapa final'!#REF!="Alta",'Mapa final'!#REF!="Mayor"),CONCATENATE("R3C",'Mapa final'!#REF!),"")</f>
        <v>#REF!</v>
      </c>
      <c r="AH18" s="49" t="str">
        <f>IF(AND('Mapa final'!$AG$18="Alta",'Mapa final'!$AI$18="Catastrófico"),CONCATENATE("R3C",'Mapa final'!$W$18),"")</f>
        <v/>
      </c>
      <c r="AI18" s="50" t="str">
        <f>IF(AND('Mapa final'!$AG$19="Alta",'Mapa final'!$AI$19="Catastrófico"),CONCATENATE("R3C",'Mapa final'!$W$19),"")</f>
        <v/>
      </c>
      <c r="AJ18" s="50" t="str">
        <f>IF(AND('Mapa final'!$AG$20="Alta",'Mapa final'!$AI$20="Catastrófico"),CONCATENATE("R3C",'Mapa final'!$W$20),"")</f>
        <v/>
      </c>
      <c r="AK18" s="50" t="str">
        <f>IF(AND('Mapa final'!$AG$21="Alta",'Mapa final'!$AI$21="Catastrófico"),CONCATENATE("R3C",'Mapa final'!$W$21),"")</f>
        <v/>
      </c>
      <c r="AL18" s="50" t="e">
        <f>IF(AND('Mapa final'!#REF!="Alta",'Mapa final'!#REF!="Catastrófico"),CONCATENATE("R3C",'Mapa final'!#REF!),"")</f>
        <v>#REF!</v>
      </c>
      <c r="AM18" s="51" t="e">
        <f>IF(AND('Mapa final'!#REF!="Alta",'Mapa final'!#REF!="Catastrófico"),CONCATENATE("R3C",'Mapa final'!#REF!),"")</f>
        <v>#REF!</v>
      </c>
      <c r="AN18" s="77"/>
      <c r="AO18" s="782"/>
      <c r="AP18" s="783"/>
      <c r="AQ18" s="783"/>
      <c r="AR18" s="783"/>
      <c r="AS18" s="783"/>
      <c r="AT18" s="784"/>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row>
    <row r="19" spans="1:76" ht="15" customHeight="1" x14ac:dyDescent="0.25">
      <c r="A19" s="77"/>
      <c r="B19" s="731"/>
      <c r="C19" s="731"/>
      <c r="D19" s="732"/>
      <c r="E19" s="772"/>
      <c r="F19" s="773"/>
      <c r="G19" s="773"/>
      <c r="H19" s="773"/>
      <c r="I19" s="773"/>
      <c r="J19" s="61" t="e">
        <f>IF(AND('Mapa final'!#REF!="Alta",'Mapa final'!#REF!="Leve"),CONCATENATE("R4C",'Mapa final'!#REF!),"")</f>
        <v>#REF!</v>
      </c>
      <c r="K19" s="62" t="str">
        <f>IF(AND('Mapa final'!$AG$22="Alta",'Mapa final'!$AI$22="Leve"),CONCATENATE("R4C",'Mapa final'!$W$22),"")</f>
        <v/>
      </c>
      <c r="L19" s="62" t="str">
        <f>IF(AND('Mapa final'!$AG$23="Alta",'Mapa final'!$AI$23="Leve"),CONCATENATE("R4C",'Mapa final'!$W$23),"")</f>
        <v/>
      </c>
      <c r="M19" s="62" t="str">
        <f>IF(AND('Mapa final'!$AG$24="Alta",'Mapa final'!$AI$24="Leve"),CONCATENATE("R4C",'Mapa final'!$W$24),"")</f>
        <v/>
      </c>
      <c r="N19" s="62" t="e">
        <f>IF(AND('Mapa final'!#REF!="Alta",'Mapa final'!#REF!="Leve"),CONCATENATE("R4C",'Mapa final'!#REF!),"")</f>
        <v>#REF!</v>
      </c>
      <c r="O19" s="63" t="str">
        <f>IF(AND('Mapa final'!$AG$25="Alta",'Mapa final'!$AI$25="Leve"),CONCATENATE("R4C",'Mapa final'!$W$25),"")</f>
        <v/>
      </c>
      <c r="P19" s="61" t="e">
        <f>IF(AND('Mapa final'!#REF!="Alta",'Mapa final'!#REF!="Menor"),CONCATENATE("R4C",'Mapa final'!#REF!),"")</f>
        <v>#REF!</v>
      </c>
      <c r="Q19" s="62" t="str">
        <f>IF(AND('Mapa final'!$AG$22="Alta",'Mapa final'!$AI$22="Menor"),CONCATENATE("R4C",'Mapa final'!$W$22),"")</f>
        <v/>
      </c>
      <c r="R19" s="62" t="str">
        <f>IF(AND('Mapa final'!$AG$23="Alta",'Mapa final'!$AI$23="Menor"),CONCATENATE("R4C",'Mapa final'!$W$23),"")</f>
        <v/>
      </c>
      <c r="S19" s="62" t="str">
        <f>IF(AND('Mapa final'!$AG$24="Alta",'Mapa final'!$AI$24="Menor"),CONCATENATE("R4C",'Mapa final'!$W$24),"")</f>
        <v/>
      </c>
      <c r="T19" s="62" t="e">
        <f>IF(AND('Mapa final'!#REF!="Alta",'Mapa final'!#REF!="Menor"),CONCATENATE("R4C",'Mapa final'!#REF!),"")</f>
        <v>#REF!</v>
      </c>
      <c r="U19" s="63" t="str">
        <f>IF(AND('Mapa final'!$AG$25="Alta",'Mapa final'!$AI$25="Menor"),CONCATENATE("R4C",'Mapa final'!$W$25),"")</f>
        <v/>
      </c>
      <c r="V19" s="46" t="e">
        <f>IF(AND('Mapa final'!#REF!="Alta",'Mapa final'!#REF!="Moderado"),CONCATENATE("R4C",'Mapa final'!#REF!),"")</f>
        <v>#REF!</v>
      </c>
      <c r="W19" s="47" t="str">
        <f>IF(AND('Mapa final'!$AG$22="Alta",'Mapa final'!$AI$22="Moderado"),CONCATENATE("R4C",'Mapa final'!$W$22),"")</f>
        <v/>
      </c>
      <c r="X19" s="47" t="str">
        <f>IF(AND('Mapa final'!$AG$23="Alta",'Mapa final'!$AI$23="Moderado"),CONCATENATE("R4C",'Mapa final'!$W$23),"")</f>
        <v/>
      </c>
      <c r="Y19" s="47" t="str">
        <f>IF(AND('Mapa final'!$AG$24="Alta",'Mapa final'!$AI$24="Moderado"),CONCATENATE("R4C",'Mapa final'!$W$24),"")</f>
        <v/>
      </c>
      <c r="Z19" s="47" t="e">
        <f>IF(AND('Mapa final'!#REF!="Alta",'Mapa final'!#REF!="Moderado"),CONCATENATE("R4C",'Mapa final'!#REF!),"")</f>
        <v>#REF!</v>
      </c>
      <c r="AA19" s="48" t="str">
        <f>IF(AND('Mapa final'!$AG$25="Alta",'Mapa final'!$AI$25="Moderado"),CONCATENATE("R4C",'Mapa final'!$W$25),"")</f>
        <v/>
      </c>
      <c r="AB19" s="46" t="e">
        <f>IF(AND('Mapa final'!#REF!="Alta",'Mapa final'!#REF!="Mayor"),CONCATENATE("R4C",'Mapa final'!#REF!),"")</f>
        <v>#REF!</v>
      </c>
      <c r="AC19" s="47" t="str">
        <f>IF(AND('Mapa final'!$AG$22="Alta",'Mapa final'!$AI$22="Mayor"),CONCATENATE("R4C",'Mapa final'!$W$22),"")</f>
        <v/>
      </c>
      <c r="AD19" s="47" t="str">
        <f>IF(AND('Mapa final'!$AG$23="Alta",'Mapa final'!$AI$23="Mayor"),CONCATENATE("R4C",'Mapa final'!$W$23),"")</f>
        <v/>
      </c>
      <c r="AE19" s="47" t="str">
        <f>IF(AND('Mapa final'!$AG$24="Alta",'Mapa final'!$AI$24="Mayor"),CONCATENATE("R4C",'Mapa final'!$W$24),"")</f>
        <v/>
      </c>
      <c r="AF19" s="47" t="e">
        <f>IF(AND('Mapa final'!#REF!="Alta",'Mapa final'!#REF!="Mayor"),CONCATENATE("R4C",'Mapa final'!#REF!),"")</f>
        <v>#REF!</v>
      </c>
      <c r="AG19" s="48" t="str">
        <f>IF(AND('Mapa final'!$AG$25="Alta",'Mapa final'!$AI$25="Mayor"),CONCATENATE("R4C",'Mapa final'!$W$25),"")</f>
        <v/>
      </c>
      <c r="AH19" s="49" t="e">
        <f>IF(AND('Mapa final'!#REF!="Alta",'Mapa final'!#REF!="Catastrófico"),CONCATENATE("R4C",'Mapa final'!#REF!),"")</f>
        <v>#REF!</v>
      </c>
      <c r="AI19" s="50" t="str">
        <f>IF(AND('Mapa final'!$AG$22="Alta",'Mapa final'!$AI$22="Catastrófico"),CONCATENATE("R4C",'Mapa final'!$W$22),"")</f>
        <v/>
      </c>
      <c r="AJ19" s="50" t="str">
        <f>IF(AND('Mapa final'!$AG$23="Alta",'Mapa final'!$AI$23="Catastrófico"),CONCATENATE("R4C",'Mapa final'!$W$23),"")</f>
        <v/>
      </c>
      <c r="AK19" s="50" t="str">
        <f>IF(AND('Mapa final'!$AG$24="Alta",'Mapa final'!$AI$24="Catastrófico"),CONCATENATE("R4C",'Mapa final'!$W$24),"")</f>
        <v/>
      </c>
      <c r="AL19" s="50" t="e">
        <f>IF(AND('Mapa final'!#REF!="Alta",'Mapa final'!#REF!="Catastrófico"),CONCATENATE("R4C",'Mapa final'!#REF!),"")</f>
        <v>#REF!</v>
      </c>
      <c r="AM19" s="51" t="str">
        <f>IF(AND('Mapa final'!$AG$25="Alta",'Mapa final'!$AI$25="Catastrófico"),CONCATENATE("R4C",'Mapa final'!$W$25),"")</f>
        <v/>
      </c>
      <c r="AN19" s="77"/>
      <c r="AO19" s="782"/>
      <c r="AP19" s="783"/>
      <c r="AQ19" s="783"/>
      <c r="AR19" s="783"/>
      <c r="AS19" s="783"/>
      <c r="AT19" s="784"/>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row>
    <row r="20" spans="1:76" ht="15" customHeight="1" x14ac:dyDescent="0.25">
      <c r="A20" s="77"/>
      <c r="B20" s="731"/>
      <c r="C20" s="731"/>
      <c r="D20" s="732"/>
      <c r="E20" s="772"/>
      <c r="F20" s="773"/>
      <c r="G20" s="773"/>
      <c r="H20" s="773"/>
      <c r="I20" s="773"/>
      <c r="J20" s="61" t="e">
        <f>IF(AND('Mapa final'!#REF!="Alta",'Mapa final'!#REF!="Leve"),CONCATENATE("R5C",'Mapa final'!#REF!),"")</f>
        <v>#REF!</v>
      </c>
      <c r="K20" s="62" t="str">
        <f>IF(AND('Mapa final'!$AG$26="Alta",'Mapa final'!$AI$26="Leve"),CONCATENATE("R5C",'Mapa final'!$W$26),"")</f>
        <v/>
      </c>
      <c r="L20" s="62" t="str">
        <f>IF(AND('Mapa final'!$AG$27="Alta",'Mapa final'!$AI$27="Leve"),CONCATENATE("R5C",'Mapa final'!$W$27),"")</f>
        <v/>
      </c>
      <c r="M20" s="62" t="str">
        <f>IF(AND('Mapa final'!$AG$28="Alta",'Mapa final'!$AI$28="Leve"),CONCATENATE("R5C",'Mapa final'!$W$28),"")</f>
        <v/>
      </c>
      <c r="N20" s="62" t="str">
        <f>IF(AND('Mapa final'!$AG$29="Alta",'Mapa final'!$AI$29="Leve"),CONCATENATE("R5C",'Mapa final'!$W$29),"")</f>
        <v/>
      </c>
      <c r="O20" s="63" t="str">
        <f>IF(AND('Mapa final'!$AG$30="Alta",'Mapa final'!$AI$30="Leve"),CONCATENATE("R5C",'Mapa final'!$W$30),"")</f>
        <v/>
      </c>
      <c r="P20" s="61" t="e">
        <f>IF(AND('Mapa final'!#REF!="Alta",'Mapa final'!#REF!="Menor"),CONCATENATE("R5C",'Mapa final'!#REF!),"")</f>
        <v>#REF!</v>
      </c>
      <c r="Q20" s="62" t="str">
        <f>IF(AND('Mapa final'!$AG$26="Alta",'Mapa final'!$AI$26="Menor"),CONCATENATE("R5C",'Mapa final'!$W$26),"")</f>
        <v/>
      </c>
      <c r="R20" s="62" t="str">
        <f>IF(AND('Mapa final'!$AG$27="Alta",'Mapa final'!$AI$27="Menor"),CONCATENATE("R5C",'Mapa final'!$W$27),"")</f>
        <v/>
      </c>
      <c r="S20" s="62" t="str">
        <f>IF(AND('Mapa final'!$AG$28="Alta",'Mapa final'!$AI$28="Menor"),CONCATENATE("R5C",'Mapa final'!$W$28),"")</f>
        <v/>
      </c>
      <c r="T20" s="62" t="str">
        <f>IF(AND('Mapa final'!$AG$29="Alta",'Mapa final'!$AI$29="Menor"),CONCATENATE("R5C",'Mapa final'!$W$29),"")</f>
        <v/>
      </c>
      <c r="U20" s="63" t="str">
        <f>IF(AND('Mapa final'!$AG$30="Alta",'Mapa final'!$AI$30="Menor"),CONCATENATE("R5C",'Mapa final'!$W$30),"")</f>
        <v/>
      </c>
      <c r="V20" s="46" t="e">
        <f>IF(AND('Mapa final'!#REF!="Alta",'Mapa final'!#REF!="Moderado"),CONCATENATE("R5C",'Mapa final'!#REF!),"")</f>
        <v>#REF!</v>
      </c>
      <c r="W20" s="47" t="str">
        <f>IF(AND('Mapa final'!$AG$26="Alta",'Mapa final'!$AI$26="Moderado"),CONCATENATE("R5C",'Mapa final'!$W$26),"")</f>
        <v/>
      </c>
      <c r="X20" s="47" t="str">
        <f>IF(AND('Mapa final'!$AG$27="Alta",'Mapa final'!$AI$27="Moderado"),CONCATENATE("R5C",'Mapa final'!$W$27),"")</f>
        <v/>
      </c>
      <c r="Y20" s="47" t="str">
        <f>IF(AND('Mapa final'!$AG$28="Alta",'Mapa final'!$AI$28="Moderado"),CONCATENATE("R5C",'Mapa final'!$W$28),"")</f>
        <v/>
      </c>
      <c r="Z20" s="47" t="str">
        <f>IF(AND('Mapa final'!$AG$29="Alta",'Mapa final'!$AI$29="Moderado"),CONCATENATE("R5C",'Mapa final'!$W$29),"")</f>
        <v/>
      </c>
      <c r="AA20" s="48" t="str">
        <f>IF(AND('Mapa final'!$AG$30="Alta",'Mapa final'!$AI$30="Moderado"),CONCATENATE("R5C",'Mapa final'!$W$30),"")</f>
        <v/>
      </c>
      <c r="AB20" s="46" t="e">
        <f>IF(AND('Mapa final'!#REF!="Alta",'Mapa final'!#REF!="Mayor"),CONCATENATE("R5C",'Mapa final'!#REF!),"")</f>
        <v>#REF!</v>
      </c>
      <c r="AC20" s="47" t="str">
        <f>IF(AND('Mapa final'!$AG$26="Alta",'Mapa final'!$AI$26="Mayor"),CONCATENATE("R5C",'Mapa final'!$W$26),"")</f>
        <v/>
      </c>
      <c r="AD20" s="47" t="str">
        <f>IF(AND('Mapa final'!$AG$27="Alta",'Mapa final'!$AI$27="Mayor"),CONCATENATE("R5C",'Mapa final'!$W$27),"")</f>
        <v/>
      </c>
      <c r="AE20" s="47" t="str">
        <f>IF(AND('Mapa final'!$AG$28="Alta",'Mapa final'!$AI$28="Mayor"),CONCATENATE("R5C",'Mapa final'!$W$28),"")</f>
        <v/>
      </c>
      <c r="AF20" s="47" t="str">
        <f>IF(AND('Mapa final'!$AG$29="Alta",'Mapa final'!$AI$29="Mayor"),CONCATENATE("R5C",'Mapa final'!$W$29),"")</f>
        <v/>
      </c>
      <c r="AG20" s="48" t="str">
        <f>IF(AND('Mapa final'!$AG$30="Alta",'Mapa final'!$AI$30="Mayor"),CONCATENATE("R5C",'Mapa final'!$W$30),"")</f>
        <v/>
      </c>
      <c r="AH20" s="49" t="e">
        <f>IF(AND('Mapa final'!#REF!="Alta",'Mapa final'!#REF!="Catastrófico"),CONCATENATE("R5C",'Mapa final'!#REF!),"")</f>
        <v>#REF!</v>
      </c>
      <c r="AI20" s="50" t="str">
        <f>IF(AND('Mapa final'!$AG$26="Alta",'Mapa final'!$AI$26="Catastrófico"),CONCATENATE("R5C",'Mapa final'!$W$26),"")</f>
        <v/>
      </c>
      <c r="AJ20" s="50" t="str">
        <f>IF(AND('Mapa final'!$AG$27="Alta",'Mapa final'!$AI$27="Catastrófico"),CONCATENATE("R5C",'Mapa final'!$W$27),"")</f>
        <v/>
      </c>
      <c r="AK20" s="50" t="str">
        <f>IF(AND('Mapa final'!$AG$28="Alta",'Mapa final'!$AI$28="Catastrófico"),CONCATENATE("R5C",'Mapa final'!$W$28),"")</f>
        <v/>
      </c>
      <c r="AL20" s="50" t="str">
        <f>IF(AND('Mapa final'!$AG$29="Alta",'Mapa final'!$AI$29="Catastrófico"),CONCATENATE("R5C",'Mapa final'!$W$29),"")</f>
        <v/>
      </c>
      <c r="AM20" s="51" t="str">
        <f>IF(AND('Mapa final'!$AG$30="Alta",'Mapa final'!$AI$30="Catastrófico"),CONCATENATE("R5C",'Mapa final'!$W$30),"")</f>
        <v/>
      </c>
      <c r="AN20" s="77"/>
      <c r="AO20" s="782"/>
      <c r="AP20" s="783"/>
      <c r="AQ20" s="783"/>
      <c r="AR20" s="783"/>
      <c r="AS20" s="783"/>
      <c r="AT20" s="784"/>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row>
    <row r="21" spans="1:76" ht="15" customHeight="1" x14ac:dyDescent="0.25">
      <c r="A21" s="77"/>
      <c r="B21" s="731"/>
      <c r="C21" s="731"/>
      <c r="D21" s="732"/>
      <c r="E21" s="772"/>
      <c r="F21" s="773"/>
      <c r="G21" s="773"/>
      <c r="H21" s="773"/>
      <c r="I21" s="773"/>
      <c r="J21" s="61" t="str">
        <f>IF(AND('Mapa final'!$AG$31="Alta",'Mapa final'!$AI$31="Leve"),CONCATENATE("R6C",'Mapa final'!$W$31),"")</f>
        <v/>
      </c>
      <c r="K21" s="62" t="str">
        <f>IF(AND('Mapa final'!$AG$32="Alta",'Mapa final'!$AI$32="Leve"),CONCATENATE("R6C",'Mapa final'!$W$32),"")</f>
        <v/>
      </c>
      <c r="L21" s="62" t="str">
        <f>IF(AND('Mapa final'!$AG$33="Alta",'Mapa final'!$AI$33="Leve"),CONCATENATE("R6C",'Mapa final'!$W$33),"")</f>
        <v/>
      </c>
      <c r="M21" s="62" t="e">
        <f>IF(AND('Mapa final'!#REF!="Alta",'Mapa final'!#REF!="Leve"),CONCATENATE("R6C",'Mapa final'!#REF!),"")</f>
        <v>#REF!</v>
      </c>
      <c r="N21" s="62" t="e">
        <f>IF(AND('Mapa final'!#REF!="Alta",'Mapa final'!#REF!="Leve"),CONCATENATE("R6C",'Mapa final'!#REF!),"")</f>
        <v>#REF!</v>
      </c>
      <c r="O21" s="63" t="e">
        <f>IF(AND('Mapa final'!#REF!="Alta",'Mapa final'!#REF!="Leve"),CONCATENATE("R6C",'Mapa final'!#REF!),"")</f>
        <v>#REF!</v>
      </c>
      <c r="P21" s="61" t="str">
        <f>IF(AND('Mapa final'!$AG$31="Alta",'Mapa final'!$AI$31="Menor"),CONCATENATE("R6C",'Mapa final'!$W$31),"")</f>
        <v/>
      </c>
      <c r="Q21" s="62" t="str">
        <f>IF(AND('Mapa final'!$AG$32="Alta",'Mapa final'!$AI$32="Menor"),CONCATENATE("R6C",'Mapa final'!$W$32),"")</f>
        <v/>
      </c>
      <c r="R21" s="62" t="str">
        <f>IF(AND('Mapa final'!$AG$33="Alta",'Mapa final'!$AI$33="Menor"),CONCATENATE("R6C",'Mapa final'!$W$33),"")</f>
        <v/>
      </c>
      <c r="S21" s="62" t="e">
        <f>IF(AND('Mapa final'!#REF!="Alta",'Mapa final'!#REF!="Menor"),CONCATENATE("R6C",'Mapa final'!#REF!),"")</f>
        <v>#REF!</v>
      </c>
      <c r="T21" s="62" t="e">
        <f>IF(AND('Mapa final'!#REF!="Alta",'Mapa final'!#REF!="Menor"),CONCATENATE("R6C",'Mapa final'!#REF!),"")</f>
        <v>#REF!</v>
      </c>
      <c r="U21" s="63" t="e">
        <f>IF(AND('Mapa final'!#REF!="Alta",'Mapa final'!#REF!="Menor"),CONCATENATE("R6C",'Mapa final'!#REF!),"")</f>
        <v>#REF!</v>
      </c>
      <c r="V21" s="46" t="str">
        <f>IF(AND('Mapa final'!$AG$31="Alta",'Mapa final'!$AI$31="Moderado"),CONCATENATE("R6C",'Mapa final'!$W$31),"")</f>
        <v/>
      </c>
      <c r="W21" s="47" t="str">
        <f>IF(AND('Mapa final'!$AG$32="Alta",'Mapa final'!$AI$32="Moderado"),CONCATENATE("R6C",'Mapa final'!$W$32),"")</f>
        <v/>
      </c>
      <c r="X21" s="47" t="str">
        <f>IF(AND('Mapa final'!$AG$33="Alta",'Mapa final'!$AI$33="Moderado"),CONCATENATE("R6C",'Mapa final'!$W$33),"")</f>
        <v/>
      </c>
      <c r="Y21" s="47" t="e">
        <f>IF(AND('Mapa final'!#REF!="Alta",'Mapa final'!#REF!="Moderado"),CONCATENATE("R6C",'Mapa final'!#REF!),"")</f>
        <v>#REF!</v>
      </c>
      <c r="Z21" s="47" t="e">
        <f>IF(AND('Mapa final'!#REF!="Alta",'Mapa final'!#REF!="Moderado"),CONCATENATE("R6C",'Mapa final'!#REF!),"")</f>
        <v>#REF!</v>
      </c>
      <c r="AA21" s="48" t="e">
        <f>IF(AND('Mapa final'!#REF!="Alta",'Mapa final'!#REF!="Moderado"),CONCATENATE("R6C",'Mapa final'!#REF!),"")</f>
        <v>#REF!</v>
      </c>
      <c r="AB21" s="46" t="str">
        <f>IF(AND('Mapa final'!$AG$31="Alta",'Mapa final'!$AI$31="Mayor"),CONCATENATE("R6C",'Mapa final'!$W$31),"")</f>
        <v/>
      </c>
      <c r="AC21" s="47" t="str">
        <f>IF(AND('Mapa final'!$AG$32="Alta",'Mapa final'!$AI$32="Mayor"),CONCATENATE("R6C",'Mapa final'!$W$32),"")</f>
        <v/>
      </c>
      <c r="AD21" s="47" t="str">
        <f>IF(AND('Mapa final'!$AG$33="Alta",'Mapa final'!$AI$33="Mayor"),CONCATENATE("R6C",'Mapa final'!$W$33),"")</f>
        <v/>
      </c>
      <c r="AE21" s="47" t="e">
        <f>IF(AND('Mapa final'!#REF!="Alta",'Mapa final'!#REF!="Mayor"),CONCATENATE("R6C",'Mapa final'!#REF!),"")</f>
        <v>#REF!</v>
      </c>
      <c r="AF21" s="47" t="e">
        <f>IF(AND('Mapa final'!#REF!="Alta",'Mapa final'!#REF!="Mayor"),CONCATENATE("R6C",'Mapa final'!#REF!),"")</f>
        <v>#REF!</v>
      </c>
      <c r="AG21" s="48" t="e">
        <f>IF(AND('Mapa final'!#REF!="Alta",'Mapa final'!#REF!="Mayor"),CONCATENATE("R6C",'Mapa final'!#REF!),"")</f>
        <v>#REF!</v>
      </c>
      <c r="AH21" s="49" t="str">
        <f>IF(AND('Mapa final'!$AG$31="Alta",'Mapa final'!$AI$31="Catastrófico"),CONCATENATE("R6C",'Mapa final'!$W$31),"")</f>
        <v/>
      </c>
      <c r="AI21" s="50" t="str">
        <f>IF(AND('Mapa final'!$AG$32="Alta",'Mapa final'!$AI$32="Catastrófico"),CONCATENATE("R6C",'Mapa final'!$W$32),"")</f>
        <v/>
      </c>
      <c r="AJ21" s="50" t="str">
        <f>IF(AND('Mapa final'!$AG$33="Alta",'Mapa final'!$AI$33="Catastrófico"),CONCATENATE("R6C",'Mapa final'!$W$33),"")</f>
        <v/>
      </c>
      <c r="AK21" s="50" t="e">
        <f>IF(AND('Mapa final'!#REF!="Alta",'Mapa final'!#REF!="Catastrófico"),CONCATENATE("R6C",'Mapa final'!#REF!),"")</f>
        <v>#REF!</v>
      </c>
      <c r="AL21" s="50" t="e">
        <f>IF(AND('Mapa final'!#REF!="Alta",'Mapa final'!#REF!="Catastrófico"),CONCATENATE("R6C",'Mapa final'!#REF!),"")</f>
        <v>#REF!</v>
      </c>
      <c r="AM21" s="51" t="e">
        <f>IF(AND('Mapa final'!#REF!="Alta",'Mapa final'!#REF!="Catastrófico"),CONCATENATE("R6C",'Mapa final'!#REF!),"")</f>
        <v>#REF!</v>
      </c>
      <c r="AN21" s="77"/>
      <c r="AO21" s="782"/>
      <c r="AP21" s="783"/>
      <c r="AQ21" s="783"/>
      <c r="AR21" s="783"/>
      <c r="AS21" s="783"/>
      <c r="AT21" s="784"/>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row>
    <row r="22" spans="1:76" ht="15" customHeight="1" x14ac:dyDescent="0.25">
      <c r="A22" s="77"/>
      <c r="B22" s="731"/>
      <c r="C22" s="731"/>
      <c r="D22" s="732"/>
      <c r="E22" s="772"/>
      <c r="F22" s="773"/>
      <c r="G22" s="773"/>
      <c r="H22" s="773"/>
      <c r="I22" s="773"/>
      <c r="J22" s="61" t="e">
        <f>IF(AND('Mapa final'!#REF!="Alta",'Mapa final'!#REF!="Leve"),CONCATENATE("R7C",'Mapa final'!#REF!),"")</f>
        <v>#REF!</v>
      </c>
      <c r="K22" s="62" t="e">
        <f>IF(AND('Mapa final'!#REF!="Alta",'Mapa final'!#REF!="Leve"),CONCATENATE("R7C",'Mapa final'!#REF!),"")</f>
        <v>#REF!</v>
      </c>
      <c r="L22" s="62" t="e">
        <f>IF(AND('Mapa final'!#REF!="Alta",'Mapa final'!#REF!="Leve"),CONCATENATE("R7C",'Mapa final'!#REF!),"")</f>
        <v>#REF!</v>
      </c>
      <c r="M22" s="62" t="str">
        <f>IF(AND('Mapa final'!$AG$36="Alta",'Mapa final'!$AI$36="Leve"),CONCATENATE("R7C",'Mapa final'!$W$36),"")</f>
        <v/>
      </c>
      <c r="N22" s="62" t="e">
        <f>IF(AND('Mapa final'!#REF!="Alta",'Mapa final'!#REF!="Leve"),CONCATENATE("R7C",'Mapa final'!#REF!),"")</f>
        <v>#REF!</v>
      </c>
      <c r="O22" s="63" t="e">
        <f>IF(AND('Mapa final'!#REF!="Alta",'Mapa final'!#REF!="Leve"),CONCATENATE("R7C",'Mapa final'!#REF!),"")</f>
        <v>#REF!</v>
      </c>
      <c r="P22" s="61" t="e">
        <f>IF(AND('Mapa final'!#REF!="Alta",'Mapa final'!#REF!="Menor"),CONCATENATE("R7C",'Mapa final'!#REF!),"")</f>
        <v>#REF!</v>
      </c>
      <c r="Q22" s="62" t="e">
        <f>IF(AND('Mapa final'!#REF!="Alta",'Mapa final'!#REF!="Menor"),CONCATENATE("R7C",'Mapa final'!#REF!),"")</f>
        <v>#REF!</v>
      </c>
      <c r="R22" s="62" t="e">
        <f>IF(AND('Mapa final'!#REF!="Alta",'Mapa final'!#REF!="Menor"),CONCATENATE("R7C",'Mapa final'!#REF!),"")</f>
        <v>#REF!</v>
      </c>
      <c r="S22" s="62" t="str">
        <f>IF(AND('Mapa final'!$AG$36="Alta",'Mapa final'!$AI$36="Menor"),CONCATENATE("R7C",'Mapa final'!$W$36),"")</f>
        <v/>
      </c>
      <c r="T22" s="62" t="e">
        <f>IF(AND('Mapa final'!#REF!="Alta",'Mapa final'!#REF!="Menor"),CONCATENATE("R7C",'Mapa final'!#REF!),"")</f>
        <v>#REF!</v>
      </c>
      <c r="U22" s="63" t="e">
        <f>IF(AND('Mapa final'!#REF!="Alta",'Mapa final'!#REF!="Menor"),CONCATENATE("R7C",'Mapa final'!#REF!),"")</f>
        <v>#REF!</v>
      </c>
      <c r="V22" s="46" t="e">
        <f>IF(AND('Mapa final'!#REF!="Alta",'Mapa final'!#REF!="Moderado"),CONCATENATE("R7C",'Mapa final'!#REF!),"")</f>
        <v>#REF!</v>
      </c>
      <c r="W22" s="47" t="e">
        <f>IF(AND('Mapa final'!#REF!="Alta",'Mapa final'!#REF!="Moderado"),CONCATENATE("R7C",'Mapa final'!#REF!),"")</f>
        <v>#REF!</v>
      </c>
      <c r="X22" s="47" t="e">
        <f>IF(AND('Mapa final'!#REF!="Alta",'Mapa final'!#REF!="Moderado"),CONCATENATE("R7C",'Mapa final'!#REF!),"")</f>
        <v>#REF!</v>
      </c>
      <c r="Y22" s="47" t="str">
        <f>IF(AND('Mapa final'!$AG$36="Alta",'Mapa final'!$AI$36="Moderado"),CONCATENATE("R7C",'Mapa final'!$W$36),"")</f>
        <v/>
      </c>
      <c r="Z22" s="47" t="e">
        <f>IF(AND('Mapa final'!#REF!="Alta",'Mapa final'!#REF!="Moderado"),CONCATENATE("R7C",'Mapa final'!#REF!),"")</f>
        <v>#REF!</v>
      </c>
      <c r="AA22" s="48" t="e">
        <f>IF(AND('Mapa final'!#REF!="Alta",'Mapa final'!#REF!="Moderado"),CONCATENATE("R7C",'Mapa final'!#REF!),"")</f>
        <v>#REF!</v>
      </c>
      <c r="AB22" s="46" t="e">
        <f>IF(AND('Mapa final'!#REF!="Alta",'Mapa final'!#REF!="Mayor"),CONCATENATE("R7C",'Mapa final'!#REF!),"")</f>
        <v>#REF!</v>
      </c>
      <c r="AC22" s="47" t="e">
        <f>IF(AND('Mapa final'!#REF!="Alta",'Mapa final'!#REF!="Mayor"),CONCATENATE("R7C",'Mapa final'!#REF!),"")</f>
        <v>#REF!</v>
      </c>
      <c r="AD22" s="47" t="e">
        <f>IF(AND('Mapa final'!#REF!="Alta",'Mapa final'!#REF!="Mayor"),CONCATENATE("R7C",'Mapa final'!#REF!),"")</f>
        <v>#REF!</v>
      </c>
      <c r="AE22" s="47" t="str">
        <f>IF(AND('Mapa final'!$AG$36="Alta",'Mapa final'!$AI$36="Mayor"),CONCATENATE("R7C",'Mapa final'!$W$36),"")</f>
        <v/>
      </c>
      <c r="AF22" s="47" t="e">
        <f>IF(AND('Mapa final'!#REF!="Alta",'Mapa final'!#REF!="Mayor"),CONCATENATE("R7C",'Mapa final'!#REF!),"")</f>
        <v>#REF!</v>
      </c>
      <c r="AG22" s="48" t="e">
        <f>IF(AND('Mapa final'!#REF!="Alta",'Mapa final'!#REF!="Mayor"),CONCATENATE("R7C",'Mapa final'!#REF!),"")</f>
        <v>#REF!</v>
      </c>
      <c r="AH22" s="49" t="e">
        <f>IF(AND('Mapa final'!#REF!="Alta",'Mapa final'!#REF!="Catastrófico"),CONCATENATE("R7C",'Mapa final'!#REF!),"")</f>
        <v>#REF!</v>
      </c>
      <c r="AI22" s="50" t="e">
        <f>IF(AND('Mapa final'!#REF!="Alta",'Mapa final'!#REF!="Catastrófico"),CONCATENATE("R7C",'Mapa final'!#REF!),"")</f>
        <v>#REF!</v>
      </c>
      <c r="AJ22" s="50" t="e">
        <f>IF(AND('Mapa final'!#REF!="Alta",'Mapa final'!#REF!="Catastrófico"),CONCATENATE("R7C",'Mapa final'!#REF!),"")</f>
        <v>#REF!</v>
      </c>
      <c r="AK22" s="50" t="str">
        <f>IF(AND('Mapa final'!$AG$36="Alta",'Mapa final'!$AI$36="Catastrófico"),CONCATENATE("R7C",'Mapa final'!$W$36),"")</f>
        <v/>
      </c>
      <c r="AL22" s="50" t="e">
        <f>IF(AND('Mapa final'!#REF!="Alta",'Mapa final'!#REF!="Catastrófico"),CONCATENATE("R7C",'Mapa final'!#REF!),"")</f>
        <v>#REF!</v>
      </c>
      <c r="AM22" s="51" t="e">
        <f>IF(AND('Mapa final'!#REF!="Alta",'Mapa final'!#REF!="Catastrófico"),CONCATENATE("R7C",'Mapa final'!#REF!),"")</f>
        <v>#REF!</v>
      </c>
      <c r="AN22" s="77"/>
      <c r="AO22" s="782"/>
      <c r="AP22" s="783"/>
      <c r="AQ22" s="783"/>
      <c r="AR22" s="783"/>
      <c r="AS22" s="783"/>
      <c r="AT22" s="784"/>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row>
    <row r="23" spans="1:76" ht="15" customHeight="1" x14ac:dyDescent="0.25">
      <c r="A23" s="77"/>
      <c r="B23" s="731"/>
      <c r="C23" s="731"/>
      <c r="D23" s="732"/>
      <c r="E23" s="772"/>
      <c r="F23" s="773"/>
      <c r="G23" s="773"/>
      <c r="H23" s="773"/>
      <c r="I23" s="773"/>
      <c r="J23" s="61" t="e">
        <f>IF(AND('Mapa final'!#REF!="Alta",'Mapa final'!#REF!="Leve"),CONCATENATE("R8C",'Mapa final'!#REF!),"")</f>
        <v>#REF!</v>
      </c>
      <c r="K23" s="62" t="e">
        <f>IF(AND('Mapa final'!#REF!="Alta",'Mapa final'!#REF!="Leve"),CONCATENATE("R8C",'Mapa final'!#REF!),"")</f>
        <v>#REF!</v>
      </c>
      <c r="L23" s="62" t="e">
        <f>IF(AND('Mapa final'!#REF!="Alta",'Mapa final'!#REF!="Leve"),CONCATENATE("R8C",'Mapa final'!#REF!),"")</f>
        <v>#REF!</v>
      </c>
      <c r="M23" s="62" t="e">
        <f>IF(AND('Mapa final'!#REF!="Alta",'Mapa final'!#REF!="Leve"),CONCATENATE("R8C",'Mapa final'!#REF!),"")</f>
        <v>#REF!</v>
      </c>
      <c r="N23" s="62" t="e">
        <f>IF(AND('Mapa final'!#REF!="Alta",'Mapa final'!#REF!="Leve"),CONCATENATE("R8C",'Mapa final'!#REF!),"")</f>
        <v>#REF!</v>
      </c>
      <c r="O23" s="63" t="e">
        <f>IF(AND('Mapa final'!#REF!="Alta",'Mapa final'!#REF!="Leve"),CONCATENATE("R8C",'Mapa final'!#REF!),"")</f>
        <v>#REF!</v>
      </c>
      <c r="P23" s="61" t="e">
        <f>IF(AND('Mapa final'!#REF!="Alta",'Mapa final'!#REF!="Menor"),CONCATENATE("R8C",'Mapa final'!#REF!),"")</f>
        <v>#REF!</v>
      </c>
      <c r="Q23" s="62" t="e">
        <f>IF(AND('Mapa final'!#REF!="Alta",'Mapa final'!#REF!="Menor"),CONCATENATE("R8C",'Mapa final'!#REF!),"")</f>
        <v>#REF!</v>
      </c>
      <c r="R23" s="62" t="e">
        <f>IF(AND('Mapa final'!#REF!="Alta",'Mapa final'!#REF!="Menor"),CONCATENATE("R8C",'Mapa final'!#REF!),"")</f>
        <v>#REF!</v>
      </c>
      <c r="S23" s="62" t="e">
        <f>IF(AND('Mapa final'!#REF!="Alta",'Mapa final'!#REF!="Menor"),CONCATENATE("R8C",'Mapa final'!#REF!),"")</f>
        <v>#REF!</v>
      </c>
      <c r="T23" s="62" t="e">
        <f>IF(AND('Mapa final'!#REF!="Alta",'Mapa final'!#REF!="Menor"),CONCATENATE("R8C",'Mapa final'!#REF!),"")</f>
        <v>#REF!</v>
      </c>
      <c r="U23" s="63" t="e">
        <f>IF(AND('Mapa final'!#REF!="Alta",'Mapa final'!#REF!="Menor"),CONCATENATE("R8C",'Mapa final'!#REF!),"")</f>
        <v>#REF!</v>
      </c>
      <c r="V23" s="46" t="e">
        <f>IF(AND('Mapa final'!#REF!="Alta",'Mapa final'!#REF!="Moderado"),CONCATENATE("R8C",'Mapa final'!#REF!),"")</f>
        <v>#REF!</v>
      </c>
      <c r="W23" s="47" t="e">
        <f>IF(AND('Mapa final'!#REF!="Alta",'Mapa final'!#REF!="Moderado"),CONCATENATE("R8C",'Mapa final'!#REF!),"")</f>
        <v>#REF!</v>
      </c>
      <c r="X23" s="47" t="e">
        <f>IF(AND('Mapa final'!#REF!="Alta",'Mapa final'!#REF!="Moderado"),CONCATENATE("R8C",'Mapa final'!#REF!),"")</f>
        <v>#REF!</v>
      </c>
      <c r="Y23" s="47" t="e">
        <f>IF(AND('Mapa final'!#REF!="Alta",'Mapa final'!#REF!="Moderado"),CONCATENATE("R8C",'Mapa final'!#REF!),"")</f>
        <v>#REF!</v>
      </c>
      <c r="Z23" s="47" t="e">
        <f>IF(AND('Mapa final'!#REF!="Alta",'Mapa final'!#REF!="Moderado"),CONCATENATE("R8C",'Mapa final'!#REF!),"")</f>
        <v>#REF!</v>
      </c>
      <c r="AA23" s="48" t="e">
        <f>IF(AND('Mapa final'!#REF!="Alta",'Mapa final'!#REF!="Moderado"),CONCATENATE("R8C",'Mapa final'!#REF!),"")</f>
        <v>#REF!</v>
      </c>
      <c r="AB23" s="46" t="e">
        <f>IF(AND('Mapa final'!#REF!="Alta",'Mapa final'!#REF!="Mayor"),CONCATENATE("R8C",'Mapa final'!#REF!),"")</f>
        <v>#REF!</v>
      </c>
      <c r="AC23" s="47" t="e">
        <f>IF(AND('Mapa final'!#REF!="Alta",'Mapa final'!#REF!="Mayor"),CONCATENATE("R8C",'Mapa final'!#REF!),"")</f>
        <v>#REF!</v>
      </c>
      <c r="AD23" s="47" t="e">
        <f>IF(AND('Mapa final'!#REF!="Alta",'Mapa final'!#REF!="Mayor"),CONCATENATE("R8C",'Mapa final'!#REF!),"")</f>
        <v>#REF!</v>
      </c>
      <c r="AE23" s="47" t="e">
        <f>IF(AND('Mapa final'!#REF!="Alta",'Mapa final'!#REF!="Mayor"),CONCATENATE("R8C",'Mapa final'!#REF!),"")</f>
        <v>#REF!</v>
      </c>
      <c r="AF23" s="47" t="e">
        <f>IF(AND('Mapa final'!#REF!="Alta",'Mapa final'!#REF!="Mayor"),CONCATENATE("R8C",'Mapa final'!#REF!),"")</f>
        <v>#REF!</v>
      </c>
      <c r="AG23" s="48" t="e">
        <f>IF(AND('Mapa final'!#REF!="Alta",'Mapa final'!#REF!="Mayor"),CONCATENATE("R8C",'Mapa final'!#REF!),"")</f>
        <v>#REF!</v>
      </c>
      <c r="AH23" s="49" t="e">
        <f>IF(AND('Mapa final'!#REF!="Alta",'Mapa final'!#REF!="Catastrófico"),CONCATENATE("R8C",'Mapa final'!#REF!),"")</f>
        <v>#REF!</v>
      </c>
      <c r="AI23" s="50" t="e">
        <f>IF(AND('Mapa final'!#REF!="Alta",'Mapa final'!#REF!="Catastrófico"),CONCATENATE("R8C",'Mapa final'!#REF!),"")</f>
        <v>#REF!</v>
      </c>
      <c r="AJ23" s="50" t="e">
        <f>IF(AND('Mapa final'!#REF!="Alta",'Mapa final'!#REF!="Catastrófico"),CONCATENATE("R8C",'Mapa final'!#REF!),"")</f>
        <v>#REF!</v>
      </c>
      <c r="AK23" s="50" t="e">
        <f>IF(AND('Mapa final'!#REF!="Alta",'Mapa final'!#REF!="Catastrófico"),CONCATENATE("R8C",'Mapa final'!#REF!),"")</f>
        <v>#REF!</v>
      </c>
      <c r="AL23" s="50" t="e">
        <f>IF(AND('Mapa final'!#REF!="Alta",'Mapa final'!#REF!="Catastrófico"),CONCATENATE("R8C",'Mapa final'!#REF!),"")</f>
        <v>#REF!</v>
      </c>
      <c r="AM23" s="51" t="e">
        <f>IF(AND('Mapa final'!#REF!="Alta",'Mapa final'!#REF!="Catastrófico"),CONCATENATE("R8C",'Mapa final'!#REF!),"")</f>
        <v>#REF!</v>
      </c>
      <c r="AN23" s="77"/>
      <c r="AO23" s="782"/>
      <c r="AP23" s="783"/>
      <c r="AQ23" s="783"/>
      <c r="AR23" s="783"/>
      <c r="AS23" s="783"/>
      <c r="AT23" s="784"/>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row>
    <row r="24" spans="1:76" ht="15" customHeight="1" x14ac:dyDescent="0.25">
      <c r="A24" s="77"/>
      <c r="B24" s="731"/>
      <c r="C24" s="731"/>
      <c r="D24" s="732"/>
      <c r="E24" s="772"/>
      <c r="F24" s="773"/>
      <c r="G24" s="773"/>
      <c r="H24" s="773"/>
      <c r="I24" s="773"/>
      <c r="J24" s="61" t="e">
        <f>IF(AND('Mapa final'!#REF!="Alta",'Mapa final'!#REF!="Leve"),CONCATENATE("R9C",'Mapa final'!#REF!),"")</f>
        <v>#REF!</v>
      </c>
      <c r="K24" s="62" t="e">
        <f>IF(AND('Mapa final'!#REF!="Alta",'Mapa final'!#REF!="Leve"),CONCATENATE("R9C",'Mapa final'!#REF!),"")</f>
        <v>#REF!</v>
      </c>
      <c r="L24" s="62" t="e">
        <f>IF(AND('Mapa final'!#REF!="Alta",'Mapa final'!#REF!="Leve"),CONCATENATE("R9C",'Mapa final'!#REF!),"")</f>
        <v>#REF!</v>
      </c>
      <c r="M24" s="62" t="e">
        <f>IF(AND('Mapa final'!#REF!="Alta",'Mapa final'!#REF!="Leve"),CONCATENATE("R9C",'Mapa final'!#REF!),"")</f>
        <v>#REF!</v>
      </c>
      <c r="N24" s="62" t="str">
        <f>IF(AND('Mapa final'!$AG$48="Alta",'Mapa final'!$AI$48="Leve"),CONCATENATE("R9C",'Mapa final'!$W$48),"")</f>
        <v/>
      </c>
      <c r="O24" s="63" t="str">
        <f>IF(AND('Mapa final'!$AG$49="Alta",'Mapa final'!$AI$49="Leve"),CONCATENATE("R9C",'Mapa final'!$W$49),"")</f>
        <v/>
      </c>
      <c r="P24" s="61" t="e">
        <f>IF(AND('Mapa final'!#REF!="Alta",'Mapa final'!#REF!="Menor"),CONCATENATE("R9C",'Mapa final'!#REF!),"")</f>
        <v>#REF!</v>
      </c>
      <c r="Q24" s="62" t="e">
        <f>IF(AND('Mapa final'!#REF!="Alta",'Mapa final'!#REF!="Menor"),CONCATENATE("R9C",'Mapa final'!#REF!),"")</f>
        <v>#REF!</v>
      </c>
      <c r="R24" s="62" t="e">
        <f>IF(AND('Mapa final'!#REF!="Alta",'Mapa final'!#REF!="Menor"),CONCATENATE("R9C",'Mapa final'!#REF!),"")</f>
        <v>#REF!</v>
      </c>
      <c r="S24" s="62" t="e">
        <f>IF(AND('Mapa final'!#REF!="Alta",'Mapa final'!#REF!="Menor"),CONCATENATE("R9C",'Mapa final'!#REF!),"")</f>
        <v>#REF!</v>
      </c>
      <c r="T24" s="62" t="str">
        <f>IF(AND('Mapa final'!$AG$48="Alta",'Mapa final'!$AI$48="Menor"),CONCATENATE("R9C",'Mapa final'!$W$48),"")</f>
        <v/>
      </c>
      <c r="U24" s="63" t="str">
        <f>IF(AND('Mapa final'!$AG$49="Alta",'Mapa final'!$AI$49="Menor"),CONCATENATE("R9C",'Mapa final'!$W$49),"")</f>
        <v/>
      </c>
      <c r="V24" s="46" t="e">
        <f>IF(AND('Mapa final'!#REF!="Alta",'Mapa final'!#REF!="Moderado"),CONCATENATE("R9C",'Mapa final'!#REF!),"")</f>
        <v>#REF!</v>
      </c>
      <c r="W24" s="47" t="e">
        <f>IF(AND('Mapa final'!#REF!="Alta",'Mapa final'!#REF!="Moderado"),CONCATENATE("R9C",'Mapa final'!#REF!),"")</f>
        <v>#REF!</v>
      </c>
      <c r="X24" s="47" t="e">
        <f>IF(AND('Mapa final'!#REF!="Alta",'Mapa final'!#REF!="Moderado"),CONCATENATE("R9C",'Mapa final'!#REF!),"")</f>
        <v>#REF!</v>
      </c>
      <c r="Y24" s="47" t="e">
        <f>IF(AND('Mapa final'!#REF!="Alta",'Mapa final'!#REF!="Moderado"),CONCATENATE("R9C",'Mapa final'!#REF!),"")</f>
        <v>#REF!</v>
      </c>
      <c r="Z24" s="47" t="str">
        <f>IF(AND('Mapa final'!$AG$48="Alta",'Mapa final'!$AI$48="Moderado"),CONCATENATE("R9C",'Mapa final'!$W$48),"")</f>
        <v/>
      </c>
      <c r="AA24" s="48" t="str">
        <f>IF(AND('Mapa final'!$AG$49="Alta",'Mapa final'!$AI$49="Moderado"),CONCATENATE("R9C",'Mapa final'!$W$49),"")</f>
        <v/>
      </c>
      <c r="AB24" s="46" t="e">
        <f>IF(AND('Mapa final'!#REF!="Alta",'Mapa final'!#REF!="Mayor"),CONCATENATE("R9C",'Mapa final'!#REF!),"")</f>
        <v>#REF!</v>
      </c>
      <c r="AC24" s="47" t="e">
        <f>IF(AND('Mapa final'!#REF!="Alta",'Mapa final'!#REF!="Mayor"),CONCATENATE("R9C",'Mapa final'!#REF!),"")</f>
        <v>#REF!</v>
      </c>
      <c r="AD24" s="47" t="e">
        <f>IF(AND('Mapa final'!#REF!="Alta",'Mapa final'!#REF!="Mayor"),CONCATENATE("R9C",'Mapa final'!#REF!),"")</f>
        <v>#REF!</v>
      </c>
      <c r="AE24" s="47" t="e">
        <f>IF(AND('Mapa final'!#REF!="Alta",'Mapa final'!#REF!="Mayor"),CONCATENATE("R9C",'Mapa final'!#REF!),"")</f>
        <v>#REF!</v>
      </c>
      <c r="AF24" s="47" t="str">
        <f>IF(AND('Mapa final'!$AG$48="Alta",'Mapa final'!$AI$48="Mayor"),CONCATENATE("R9C",'Mapa final'!$W$48),"")</f>
        <v/>
      </c>
      <c r="AG24" s="48" t="str">
        <f>IF(AND('Mapa final'!$AG$49="Alta",'Mapa final'!$AI$49="Mayor"),CONCATENATE("R9C",'Mapa final'!$W$49),"")</f>
        <v/>
      </c>
      <c r="AH24" s="49" t="e">
        <f>IF(AND('Mapa final'!#REF!="Alta",'Mapa final'!#REF!="Catastrófico"),CONCATENATE("R9C",'Mapa final'!#REF!),"")</f>
        <v>#REF!</v>
      </c>
      <c r="AI24" s="50" t="e">
        <f>IF(AND('Mapa final'!#REF!="Alta",'Mapa final'!#REF!="Catastrófico"),CONCATENATE("R9C",'Mapa final'!#REF!),"")</f>
        <v>#REF!</v>
      </c>
      <c r="AJ24" s="50" t="e">
        <f>IF(AND('Mapa final'!#REF!="Alta",'Mapa final'!#REF!="Catastrófico"),CONCATENATE("R9C",'Mapa final'!#REF!),"")</f>
        <v>#REF!</v>
      </c>
      <c r="AK24" s="50" t="e">
        <f>IF(AND('Mapa final'!#REF!="Alta",'Mapa final'!#REF!="Catastrófico"),CONCATENATE("R9C",'Mapa final'!#REF!),"")</f>
        <v>#REF!</v>
      </c>
      <c r="AL24" s="50" t="str">
        <f>IF(AND('Mapa final'!$AG$48="Alta",'Mapa final'!$AI$48="Catastrófico"),CONCATENATE("R9C",'Mapa final'!$W$48),"")</f>
        <v/>
      </c>
      <c r="AM24" s="51" t="str">
        <f>IF(AND('Mapa final'!$AG$49="Alta",'Mapa final'!$AI$49="Catastrófico"),CONCATENATE("R9C",'Mapa final'!$W$49),"")</f>
        <v/>
      </c>
      <c r="AN24" s="77"/>
      <c r="AO24" s="782"/>
      <c r="AP24" s="783"/>
      <c r="AQ24" s="783"/>
      <c r="AR24" s="783"/>
      <c r="AS24" s="783"/>
      <c r="AT24" s="784"/>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row>
    <row r="25" spans="1:76" ht="15.75" customHeight="1" thickBot="1" x14ac:dyDescent="0.3">
      <c r="A25" s="77"/>
      <c r="B25" s="731"/>
      <c r="C25" s="731"/>
      <c r="D25" s="732"/>
      <c r="E25" s="775"/>
      <c r="F25" s="776"/>
      <c r="G25" s="776"/>
      <c r="H25" s="776"/>
      <c r="I25" s="776"/>
      <c r="J25" s="64" t="e">
        <f>IF(AND('Mapa final'!#REF!="Alta",'Mapa final'!#REF!="Leve"),CONCATENATE("R10C",'Mapa final'!#REF!),"")</f>
        <v>#REF!</v>
      </c>
      <c r="K25" s="65" t="e">
        <f>IF(AND('Mapa final'!#REF!="Alta",'Mapa final'!#REF!="Leve"),CONCATENATE("R10C",'Mapa final'!#REF!),"")</f>
        <v>#REF!</v>
      </c>
      <c r="L25" s="65" t="e">
        <f>IF(AND('Mapa final'!#REF!="Alta",'Mapa final'!#REF!="Leve"),CONCATENATE("R10C",'Mapa final'!#REF!),"")</f>
        <v>#REF!</v>
      </c>
      <c r="M25" s="65" t="e">
        <f>IF(AND('Mapa final'!#REF!="Alta",'Mapa final'!#REF!="Leve"),CONCATENATE("R10C",'Mapa final'!#REF!),"")</f>
        <v>#REF!</v>
      </c>
      <c r="N25" s="65" t="e">
        <f>IF(AND('Mapa final'!#REF!="Alta",'Mapa final'!#REF!="Leve"),CONCATENATE("R10C",'Mapa final'!#REF!),"")</f>
        <v>#REF!</v>
      </c>
      <c r="O25" s="66" t="e">
        <f>IF(AND('Mapa final'!#REF!="Alta",'Mapa final'!#REF!="Leve"),CONCATENATE("R10C",'Mapa final'!#REF!),"")</f>
        <v>#REF!</v>
      </c>
      <c r="P25" s="64" t="e">
        <f>IF(AND('Mapa final'!#REF!="Alta",'Mapa final'!#REF!="Menor"),CONCATENATE("R10C",'Mapa final'!#REF!),"")</f>
        <v>#REF!</v>
      </c>
      <c r="Q25" s="65" t="e">
        <f>IF(AND('Mapa final'!#REF!="Alta",'Mapa final'!#REF!="Menor"),CONCATENATE("R10C",'Mapa final'!#REF!),"")</f>
        <v>#REF!</v>
      </c>
      <c r="R25" s="65" t="e">
        <f>IF(AND('Mapa final'!#REF!="Alta",'Mapa final'!#REF!="Menor"),CONCATENATE("R10C",'Mapa final'!#REF!),"")</f>
        <v>#REF!</v>
      </c>
      <c r="S25" s="65" t="e">
        <f>IF(AND('Mapa final'!#REF!="Alta",'Mapa final'!#REF!="Menor"),CONCATENATE("R10C",'Mapa final'!#REF!),"")</f>
        <v>#REF!</v>
      </c>
      <c r="T25" s="65" t="e">
        <f>IF(AND('Mapa final'!#REF!="Alta",'Mapa final'!#REF!="Menor"),CONCATENATE("R10C",'Mapa final'!#REF!),"")</f>
        <v>#REF!</v>
      </c>
      <c r="U25" s="66" t="e">
        <f>IF(AND('Mapa final'!#REF!="Alta",'Mapa final'!#REF!="Menor"),CONCATENATE("R10C",'Mapa final'!#REF!),"")</f>
        <v>#REF!</v>
      </c>
      <c r="V25" s="52" t="e">
        <f>IF(AND('Mapa final'!#REF!="Alta",'Mapa final'!#REF!="Moderado"),CONCATENATE("R10C",'Mapa final'!#REF!),"")</f>
        <v>#REF!</v>
      </c>
      <c r="W25" s="53" t="e">
        <f>IF(AND('Mapa final'!#REF!="Alta",'Mapa final'!#REF!="Moderado"),CONCATENATE("R10C",'Mapa final'!#REF!),"")</f>
        <v>#REF!</v>
      </c>
      <c r="X25" s="53" t="e">
        <f>IF(AND('Mapa final'!#REF!="Alta",'Mapa final'!#REF!="Moderado"),CONCATENATE("R10C",'Mapa final'!#REF!),"")</f>
        <v>#REF!</v>
      </c>
      <c r="Y25" s="53" t="e">
        <f>IF(AND('Mapa final'!#REF!="Alta",'Mapa final'!#REF!="Moderado"),CONCATENATE("R10C",'Mapa final'!#REF!),"")</f>
        <v>#REF!</v>
      </c>
      <c r="Z25" s="53" t="e">
        <f>IF(AND('Mapa final'!#REF!="Alta",'Mapa final'!#REF!="Moderado"),CONCATENATE("R10C",'Mapa final'!#REF!),"")</f>
        <v>#REF!</v>
      </c>
      <c r="AA25" s="54" t="e">
        <f>IF(AND('Mapa final'!#REF!="Alta",'Mapa final'!#REF!="Moderado"),CONCATENATE("R10C",'Mapa final'!#REF!),"")</f>
        <v>#REF!</v>
      </c>
      <c r="AB25" s="52" t="e">
        <f>IF(AND('Mapa final'!#REF!="Alta",'Mapa final'!#REF!="Mayor"),CONCATENATE("R10C",'Mapa final'!#REF!),"")</f>
        <v>#REF!</v>
      </c>
      <c r="AC25" s="53" t="e">
        <f>IF(AND('Mapa final'!#REF!="Alta",'Mapa final'!#REF!="Mayor"),CONCATENATE("R10C",'Mapa final'!#REF!),"")</f>
        <v>#REF!</v>
      </c>
      <c r="AD25" s="53" t="e">
        <f>IF(AND('Mapa final'!#REF!="Alta",'Mapa final'!#REF!="Mayor"),CONCATENATE("R10C",'Mapa final'!#REF!),"")</f>
        <v>#REF!</v>
      </c>
      <c r="AE25" s="53" t="e">
        <f>IF(AND('Mapa final'!#REF!="Alta",'Mapa final'!#REF!="Mayor"),CONCATENATE("R10C",'Mapa final'!#REF!),"")</f>
        <v>#REF!</v>
      </c>
      <c r="AF25" s="53" t="e">
        <f>IF(AND('Mapa final'!#REF!="Alta",'Mapa final'!#REF!="Mayor"),CONCATENATE("R10C",'Mapa final'!#REF!),"")</f>
        <v>#REF!</v>
      </c>
      <c r="AG25" s="54" t="e">
        <f>IF(AND('Mapa final'!#REF!="Alta",'Mapa final'!#REF!="Mayor"),CONCATENATE("R10C",'Mapa final'!#REF!),"")</f>
        <v>#REF!</v>
      </c>
      <c r="AH25" s="55" t="e">
        <f>IF(AND('Mapa final'!#REF!="Alta",'Mapa final'!#REF!="Catastrófico"),CONCATENATE("R10C",'Mapa final'!#REF!),"")</f>
        <v>#REF!</v>
      </c>
      <c r="AI25" s="56" t="e">
        <f>IF(AND('Mapa final'!#REF!="Alta",'Mapa final'!#REF!="Catastrófico"),CONCATENATE("R10C",'Mapa final'!#REF!),"")</f>
        <v>#REF!</v>
      </c>
      <c r="AJ25" s="56" t="e">
        <f>IF(AND('Mapa final'!#REF!="Alta",'Mapa final'!#REF!="Catastrófico"),CONCATENATE("R10C",'Mapa final'!#REF!),"")</f>
        <v>#REF!</v>
      </c>
      <c r="AK25" s="56" t="e">
        <f>IF(AND('Mapa final'!#REF!="Alta",'Mapa final'!#REF!="Catastrófico"),CONCATENATE("R10C",'Mapa final'!#REF!),"")</f>
        <v>#REF!</v>
      </c>
      <c r="AL25" s="56" t="e">
        <f>IF(AND('Mapa final'!#REF!="Alta",'Mapa final'!#REF!="Catastrófico"),CONCATENATE("R10C",'Mapa final'!#REF!),"")</f>
        <v>#REF!</v>
      </c>
      <c r="AM25" s="57" t="e">
        <f>IF(AND('Mapa final'!#REF!="Alta",'Mapa final'!#REF!="Catastrófico"),CONCATENATE("R10C",'Mapa final'!#REF!),"")</f>
        <v>#REF!</v>
      </c>
      <c r="AN25" s="77"/>
      <c r="AO25" s="785"/>
      <c r="AP25" s="786"/>
      <c r="AQ25" s="786"/>
      <c r="AR25" s="786"/>
      <c r="AS25" s="786"/>
      <c r="AT25" s="78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row>
    <row r="26" spans="1:76" ht="15" customHeight="1" x14ac:dyDescent="0.25">
      <c r="A26" s="77"/>
      <c r="B26" s="731"/>
      <c r="C26" s="731"/>
      <c r="D26" s="732"/>
      <c r="E26" s="769" t="s">
        <v>539</v>
      </c>
      <c r="F26" s="770"/>
      <c r="G26" s="770"/>
      <c r="H26" s="770"/>
      <c r="I26" s="771"/>
      <c r="J26" s="58" t="e">
        <f>IF(AND('Mapa final'!#REF!="Media",'Mapa final'!#REF!="Leve"),CONCATENATE("R1C",'Mapa final'!#REF!),"")</f>
        <v>#REF!</v>
      </c>
      <c r="K26" s="59" t="e">
        <f>IF(AND('Mapa final'!#REF!="Media",'Mapa final'!#REF!="Leve"),CONCATENATE("R1C",'Mapa final'!#REF!),"")</f>
        <v>#REF!</v>
      </c>
      <c r="L26" s="59" t="e">
        <f>IF(AND('Mapa final'!#REF!="Media",'Mapa final'!#REF!="Leve"),CONCATENATE("R1C",'Mapa final'!#REF!),"")</f>
        <v>#REF!</v>
      </c>
      <c r="M26" s="59" t="e">
        <f>IF(AND('Mapa final'!#REF!="Media",'Mapa final'!#REF!="Leve"),CONCATENATE("R1C",'Mapa final'!#REF!),"")</f>
        <v>#REF!</v>
      </c>
      <c r="N26" s="59" t="e">
        <f>IF(AND('Mapa final'!#REF!="Media",'Mapa final'!#REF!="Leve"),CONCATENATE("R1C",'Mapa final'!#REF!),"")</f>
        <v>#REF!</v>
      </c>
      <c r="O26" s="60" t="e">
        <f>IF(AND('Mapa final'!#REF!="Media",'Mapa final'!#REF!="Leve"),CONCATENATE("R1C",'Mapa final'!#REF!),"")</f>
        <v>#REF!</v>
      </c>
      <c r="P26" s="58" t="e">
        <f>IF(AND('Mapa final'!#REF!="Media",'Mapa final'!#REF!="Menor"),CONCATENATE("R1C",'Mapa final'!#REF!),"")</f>
        <v>#REF!</v>
      </c>
      <c r="Q26" s="59" t="e">
        <f>IF(AND('Mapa final'!#REF!="Media",'Mapa final'!#REF!="Menor"),CONCATENATE("R1C",'Mapa final'!#REF!),"")</f>
        <v>#REF!</v>
      </c>
      <c r="R26" s="59" t="e">
        <f>IF(AND('Mapa final'!#REF!="Media",'Mapa final'!#REF!="Menor"),CONCATENATE("R1C",'Mapa final'!#REF!),"")</f>
        <v>#REF!</v>
      </c>
      <c r="S26" s="59" t="e">
        <f>IF(AND('Mapa final'!#REF!="Media",'Mapa final'!#REF!="Menor"),CONCATENATE("R1C",'Mapa final'!#REF!),"")</f>
        <v>#REF!</v>
      </c>
      <c r="T26" s="59" t="e">
        <f>IF(AND('Mapa final'!#REF!="Media",'Mapa final'!#REF!="Menor"),CONCATENATE("R1C",'Mapa final'!#REF!),"")</f>
        <v>#REF!</v>
      </c>
      <c r="U26" s="60" t="e">
        <f>IF(AND('Mapa final'!#REF!="Media",'Mapa final'!#REF!="Menor"),CONCATENATE("R1C",'Mapa final'!#REF!),"")</f>
        <v>#REF!</v>
      </c>
      <c r="V26" s="58" t="e">
        <f>IF(AND('Mapa final'!#REF!="Media",'Mapa final'!#REF!="Moderado"),CONCATENATE("R1C",'Mapa final'!#REF!),"")</f>
        <v>#REF!</v>
      </c>
      <c r="W26" s="59" t="e">
        <f>IF(AND('Mapa final'!#REF!="Media",'Mapa final'!#REF!="Moderado"),CONCATENATE("R1C",'Mapa final'!#REF!),"")</f>
        <v>#REF!</v>
      </c>
      <c r="X26" s="59" t="e">
        <f>IF(AND('Mapa final'!#REF!="Media",'Mapa final'!#REF!="Moderado"),CONCATENATE("R1C",'Mapa final'!#REF!),"")</f>
        <v>#REF!</v>
      </c>
      <c r="Y26" s="59" t="e">
        <f>IF(AND('Mapa final'!#REF!="Media",'Mapa final'!#REF!="Moderado"),CONCATENATE("R1C",'Mapa final'!#REF!),"")</f>
        <v>#REF!</v>
      </c>
      <c r="Z26" s="59" t="e">
        <f>IF(AND('Mapa final'!#REF!="Media",'Mapa final'!#REF!="Moderado"),CONCATENATE("R1C",'Mapa final'!#REF!),"")</f>
        <v>#REF!</v>
      </c>
      <c r="AA26" s="60" t="e">
        <f>IF(AND('Mapa final'!#REF!="Media",'Mapa final'!#REF!="Moderado"),CONCATENATE("R1C",'Mapa final'!#REF!),"")</f>
        <v>#REF!</v>
      </c>
      <c r="AB26" s="40" t="e">
        <f>IF(AND('Mapa final'!#REF!="Media",'Mapa final'!#REF!="Mayor"),CONCATENATE("R1C",'Mapa final'!#REF!),"")</f>
        <v>#REF!</v>
      </c>
      <c r="AC26" s="41" t="e">
        <f>IF(AND('Mapa final'!#REF!="Media",'Mapa final'!#REF!="Mayor"),CONCATENATE("R1C",'Mapa final'!#REF!),"")</f>
        <v>#REF!</v>
      </c>
      <c r="AD26" s="41" t="e">
        <f>IF(AND('Mapa final'!#REF!="Media",'Mapa final'!#REF!="Mayor"),CONCATENATE("R1C",'Mapa final'!#REF!),"")</f>
        <v>#REF!</v>
      </c>
      <c r="AE26" s="41" t="e">
        <f>IF(AND('Mapa final'!#REF!="Media",'Mapa final'!#REF!="Mayor"),CONCATENATE("R1C",'Mapa final'!#REF!),"")</f>
        <v>#REF!</v>
      </c>
      <c r="AF26" s="41" t="e">
        <f>IF(AND('Mapa final'!#REF!="Media",'Mapa final'!#REF!="Mayor"),CONCATENATE("R1C",'Mapa final'!#REF!),"")</f>
        <v>#REF!</v>
      </c>
      <c r="AG26" s="42" t="e">
        <f>IF(AND('Mapa final'!#REF!="Media",'Mapa final'!#REF!="Mayor"),CONCATENATE("R1C",'Mapa final'!#REF!),"")</f>
        <v>#REF!</v>
      </c>
      <c r="AH26" s="43" t="e">
        <f>IF(AND('Mapa final'!#REF!="Media",'Mapa final'!#REF!="Catastrófico"),CONCATENATE("R1C",'Mapa final'!#REF!),"")</f>
        <v>#REF!</v>
      </c>
      <c r="AI26" s="44" t="e">
        <f>IF(AND('Mapa final'!#REF!="Media",'Mapa final'!#REF!="Catastrófico"),CONCATENATE("R1C",'Mapa final'!#REF!),"")</f>
        <v>#REF!</v>
      </c>
      <c r="AJ26" s="44" t="e">
        <f>IF(AND('Mapa final'!#REF!="Media",'Mapa final'!#REF!="Catastrófico"),CONCATENATE("R1C",'Mapa final'!#REF!),"")</f>
        <v>#REF!</v>
      </c>
      <c r="AK26" s="44" t="e">
        <f>IF(AND('Mapa final'!#REF!="Media",'Mapa final'!#REF!="Catastrófico"),CONCATENATE("R1C",'Mapa final'!#REF!),"")</f>
        <v>#REF!</v>
      </c>
      <c r="AL26" s="44" t="e">
        <f>IF(AND('Mapa final'!#REF!="Media",'Mapa final'!#REF!="Catastrófico"),CONCATENATE("R1C",'Mapa final'!#REF!),"")</f>
        <v>#REF!</v>
      </c>
      <c r="AM26" s="45" t="e">
        <f>IF(AND('Mapa final'!#REF!="Media",'Mapa final'!#REF!="Catastrófico"),CONCATENATE("R1C",'Mapa final'!#REF!),"")</f>
        <v>#REF!</v>
      </c>
      <c r="AN26" s="77"/>
      <c r="AO26" s="809" t="s">
        <v>486</v>
      </c>
      <c r="AP26" s="810"/>
      <c r="AQ26" s="810"/>
      <c r="AR26" s="810"/>
      <c r="AS26" s="810"/>
      <c r="AT26" s="811"/>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row>
    <row r="27" spans="1:76" ht="15" customHeight="1" x14ac:dyDescent="0.25">
      <c r="A27" s="77"/>
      <c r="B27" s="731"/>
      <c r="C27" s="731"/>
      <c r="D27" s="732"/>
      <c r="E27" s="788"/>
      <c r="F27" s="773"/>
      <c r="G27" s="773"/>
      <c r="H27" s="773"/>
      <c r="I27" s="774"/>
      <c r="J27" s="61" t="e">
        <f>IF(AND('Mapa final'!#REF!="Media",'Mapa final'!#REF!="Leve"),CONCATENATE("R2C",'Mapa final'!#REF!),"")</f>
        <v>#REF!</v>
      </c>
      <c r="K27" s="62" t="e">
        <f>IF(AND('Mapa final'!#REF!="Media",'Mapa final'!#REF!="Leve"),CONCATENATE("R2C",'Mapa final'!#REF!),"")</f>
        <v>#REF!</v>
      </c>
      <c r="L27" s="62" t="e">
        <f>IF(AND('Mapa final'!#REF!="Media",'Mapa final'!#REF!="Leve"),CONCATENATE("R2C",'Mapa final'!#REF!),"")</f>
        <v>#REF!</v>
      </c>
      <c r="M27" s="62" t="e">
        <f>IF(AND('Mapa final'!#REF!="Media",'Mapa final'!#REF!="Leve"),CONCATENATE("R2C",'Mapa final'!#REF!),"")</f>
        <v>#REF!</v>
      </c>
      <c r="N27" s="62" t="e">
        <f>IF(AND('Mapa final'!#REF!="Media",'Mapa final'!#REF!="Leve"),CONCATENATE("R2C",'Mapa final'!#REF!),"")</f>
        <v>#REF!</v>
      </c>
      <c r="O27" s="63" t="str">
        <f>IF(AND('Mapa final'!$AG$17="Media",'Mapa final'!$AI$17="Leve"),CONCATENATE("R2C",'Mapa final'!$W$17),"")</f>
        <v/>
      </c>
      <c r="P27" s="61" t="e">
        <f>IF(AND('Mapa final'!#REF!="Media",'Mapa final'!#REF!="Menor"),CONCATENATE("R2C",'Mapa final'!#REF!),"")</f>
        <v>#REF!</v>
      </c>
      <c r="Q27" s="62" t="e">
        <f>IF(AND('Mapa final'!#REF!="Media",'Mapa final'!#REF!="Menor"),CONCATENATE("R2C",'Mapa final'!#REF!),"")</f>
        <v>#REF!</v>
      </c>
      <c r="R27" s="62" t="e">
        <f>IF(AND('Mapa final'!#REF!="Media",'Mapa final'!#REF!="Menor"),CONCATENATE("R2C",'Mapa final'!#REF!),"")</f>
        <v>#REF!</v>
      </c>
      <c r="S27" s="62" t="e">
        <f>IF(AND('Mapa final'!#REF!="Media",'Mapa final'!#REF!="Menor"),CONCATENATE("R2C",'Mapa final'!#REF!),"")</f>
        <v>#REF!</v>
      </c>
      <c r="T27" s="62" t="e">
        <f>IF(AND('Mapa final'!#REF!="Media",'Mapa final'!#REF!="Menor"),CONCATENATE("R2C",'Mapa final'!#REF!),"")</f>
        <v>#REF!</v>
      </c>
      <c r="U27" s="63" t="str">
        <f>IF(AND('Mapa final'!$AG$17="Media",'Mapa final'!$AI$17="Menor"),CONCATENATE("R2C",'Mapa final'!$W$17),"")</f>
        <v/>
      </c>
      <c r="V27" s="61" t="e">
        <f>IF(AND('Mapa final'!#REF!="Media",'Mapa final'!#REF!="Moderado"),CONCATENATE("R2C",'Mapa final'!#REF!),"")</f>
        <v>#REF!</v>
      </c>
      <c r="W27" s="62" t="e">
        <f>IF(AND('Mapa final'!#REF!="Media",'Mapa final'!#REF!="Moderado"),CONCATENATE("R2C",'Mapa final'!#REF!),"")</f>
        <v>#REF!</v>
      </c>
      <c r="X27" s="62" t="e">
        <f>IF(AND('Mapa final'!#REF!="Media",'Mapa final'!#REF!="Moderado"),CONCATENATE("R2C",'Mapa final'!#REF!),"")</f>
        <v>#REF!</v>
      </c>
      <c r="Y27" s="62" t="e">
        <f>IF(AND('Mapa final'!#REF!="Media",'Mapa final'!#REF!="Moderado"),CONCATENATE("R2C",'Mapa final'!#REF!),"")</f>
        <v>#REF!</v>
      </c>
      <c r="Z27" s="62" t="e">
        <f>IF(AND('Mapa final'!#REF!="Media",'Mapa final'!#REF!="Moderado"),CONCATENATE("R2C",'Mapa final'!#REF!),"")</f>
        <v>#REF!</v>
      </c>
      <c r="AA27" s="63" t="str">
        <f>IF(AND('Mapa final'!$AG$17="Media",'Mapa final'!$AI$17="Moderado"),CONCATENATE("R2C",'Mapa final'!$W$17),"")</f>
        <v/>
      </c>
      <c r="AB27" s="46" t="e">
        <f>IF(AND('Mapa final'!#REF!="Media",'Mapa final'!#REF!="Mayor"),CONCATENATE("R2C",'Mapa final'!#REF!),"")</f>
        <v>#REF!</v>
      </c>
      <c r="AC27" s="47" t="e">
        <f>IF(AND('Mapa final'!#REF!="Media",'Mapa final'!#REF!="Mayor"),CONCATENATE("R2C",'Mapa final'!#REF!),"")</f>
        <v>#REF!</v>
      </c>
      <c r="AD27" s="47" t="e">
        <f>IF(AND('Mapa final'!#REF!="Media",'Mapa final'!#REF!="Mayor"),CONCATENATE("R2C",'Mapa final'!#REF!),"")</f>
        <v>#REF!</v>
      </c>
      <c r="AE27" s="47" t="e">
        <f>IF(AND('Mapa final'!#REF!="Media",'Mapa final'!#REF!="Mayor"),CONCATENATE("R2C",'Mapa final'!#REF!),"")</f>
        <v>#REF!</v>
      </c>
      <c r="AF27" s="47" t="e">
        <f>IF(AND('Mapa final'!#REF!="Media",'Mapa final'!#REF!="Mayor"),CONCATENATE("R2C",'Mapa final'!#REF!),"")</f>
        <v>#REF!</v>
      </c>
      <c r="AG27" s="48" t="str">
        <f>IF(AND('Mapa final'!$AG$17="Media",'Mapa final'!$AI$17="Mayor"),CONCATENATE("R2C",'Mapa final'!$W$17),"")</f>
        <v/>
      </c>
      <c r="AH27" s="49" t="e">
        <f>IF(AND('Mapa final'!#REF!="Media",'Mapa final'!#REF!="Catastrófico"),CONCATENATE("R2C",'Mapa final'!#REF!),"")</f>
        <v>#REF!</v>
      </c>
      <c r="AI27" s="50" t="e">
        <f>IF(AND('Mapa final'!#REF!="Media",'Mapa final'!#REF!="Catastrófico"),CONCATENATE("R2C",'Mapa final'!#REF!),"")</f>
        <v>#REF!</v>
      </c>
      <c r="AJ27" s="50" t="e">
        <f>IF(AND('Mapa final'!#REF!="Media",'Mapa final'!#REF!="Catastrófico"),CONCATENATE("R2C",'Mapa final'!#REF!),"")</f>
        <v>#REF!</v>
      </c>
      <c r="AK27" s="50" t="e">
        <f>IF(AND('Mapa final'!#REF!="Media",'Mapa final'!#REF!="Catastrófico"),CONCATENATE("R2C",'Mapa final'!#REF!),"")</f>
        <v>#REF!</v>
      </c>
      <c r="AL27" s="50" t="e">
        <f>IF(AND('Mapa final'!#REF!="Media",'Mapa final'!#REF!="Catastrófico"),CONCATENATE("R2C",'Mapa final'!#REF!),"")</f>
        <v>#REF!</v>
      </c>
      <c r="AM27" s="51" t="str">
        <f>IF(AND('Mapa final'!$AG$17="Media",'Mapa final'!$AI$17="Catastrófico"),CONCATENATE("R2C",'Mapa final'!$W$17),"")</f>
        <v/>
      </c>
      <c r="AN27" s="77"/>
      <c r="AO27" s="812"/>
      <c r="AP27" s="813"/>
      <c r="AQ27" s="813"/>
      <c r="AR27" s="813"/>
      <c r="AS27" s="813"/>
      <c r="AT27" s="814"/>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row>
    <row r="28" spans="1:76" ht="15" customHeight="1" x14ac:dyDescent="0.25">
      <c r="A28" s="77"/>
      <c r="B28" s="731"/>
      <c r="C28" s="731"/>
      <c r="D28" s="732"/>
      <c r="E28" s="772"/>
      <c r="F28" s="773"/>
      <c r="G28" s="773"/>
      <c r="H28" s="773"/>
      <c r="I28" s="774"/>
      <c r="J28" s="61" t="str">
        <f>IF(AND('Mapa final'!$AG$18="Media",'Mapa final'!$AI$18="Leve"),CONCATENATE("R3C",'Mapa final'!$W$18),"")</f>
        <v/>
      </c>
      <c r="K28" s="62" t="str">
        <f>IF(AND('Mapa final'!$AG$19="Media",'Mapa final'!$AI$19="Leve"),CONCATENATE("R3C",'Mapa final'!$W$19),"")</f>
        <v/>
      </c>
      <c r="L28" s="62" t="str">
        <f>IF(AND('Mapa final'!$AG$20="Media",'Mapa final'!$AI$20="Leve"),CONCATENATE("R3C",'Mapa final'!$W$20),"")</f>
        <v/>
      </c>
      <c r="M28" s="62" t="str">
        <f>IF(AND('Mapa final'!$AG$21="Media",'Mapa final'!$AI$21="Leve"),CONCATENATE("R3C",'Mapa final'!$W$21),"")</f>
        <v/>
      </c>
      <c r="N28" s="62" t="e">
        <f>IF(AND('Mapa final'!#REF!="Media",'Mapa final'!#REF!="Leve"),CONCATENATE("R3C",'Mapa final'!#REF!),"")</f>
        <v>#REF!</v>
      </c>
      <c r="O28" s="63" t="e">
        <f>IF(AND('Mapa final'!#REF!="Media",'Mapa final'!#REF!="Leve"),CONCATENATE("R3C",'Mapa final'!#REF!),"")</f>
        <v>#REF!</v>
      </c>
      <c r="P28" s="61" t="str">
        <f>IF(AND('Mapa final'!$AG$18="Media",'Mapa final'!$AI$18="Menor"),CONCATENATE("R3C",'Mapa final'!$W$18),"")</f>
        <v/>
      </c>
      <c r="Q28" s="62" t="str">
        <f>IF(AND('Mapa final'!$AG$19="Media",'Mapa final'!$AI$19="Menor"),CONCATENATE("R3C",'Mapa final'!$W$19),"")</f>
        <v/>
      </c>
      <c r="R28" s="62" t="str">
        <f>IF(AND('Mapa final'!$AG$20="Media",'Mapa final'!$AI$20="Menor"),CONCATENATE("R3C",'Mapa final'!$W$20),"")</f>
        <v/>
      </c>
      <c r="S28" s="62" t="str">
        <f>IF(AND('Mapa final'!$AG$21="Media",'Mapa final'!$AI$21="Menor"),CONCATENATE("R3C",'Mapa final'!$W$21),"")</f>
        <v/>
      </c>
      <c r="T28" s="62" t="e">
        <f>IF(AND('Mapa final'!#REF!="Media",'Mapa final'!#REF!="Menor"),CONCATENATE("R3C",'Mapa final'!#REF!),"")</f>
        <v>#REF!</v>
      </c>
      <c r="U28" s="63" t="e">
        <f>IF(AND('Mapa final'!#REF!="Media",'Mapa final'!#REF!="Menor"),CONCATENATE("R3C",'Mapa final'!#REF!),"")</f>
        <v>#REF!</v>
      </c>
      <c r="V28" s="61" t="str">
        <f>IF(AND('Mapa final'!$AG$18="Media",'Mapa final'!$AI$18="Moderado"),CONCATENATE("R3C",'Mapa final'!$W$18),"")</f>
        <v/>
      </c>
      <c r="W28" s="62" t="str">
        <f>IF(AND('Mapa final'!$AG$19="Media",'Mapa final'!$AI$19="Moderado"),CONCATENATE("R3C",'Mapa final'!$W$19),"")</f>
        <v>R3CC8</v>
      </c>
      <c r="X28" s="62" t="str">
        <f>IF(AND('Mapa final'!$AG$20="Media",'Mapa final'!$AI$20="Moderado"),CONCATENATE("R3C",'Mapa final'!$W$20),"")</f>
        <v/>
      </c>
      <c r="Y28" s="62" t="str">
        <f>IF(AND('Mapa final'!$AG$21="Media",'Mapa final'!$AI$21="Moderado"),CONCATENATE("R3C",'Mapa final'!$W$21),"")</f>
        <v/>
      </c>
      <c r="Z28" s="62" t="e">
        <f>IF(AND('Mapa final'!#REF!="Media",'Mapa final'!#REF!="Moderado"),CONCATENATE("R3C",'Mapa final'!#REF!),"")</f>
        <v>#REF!</v>
      </c>
      <c r="AA28" s="63" t="e">
        <f>IF(AND('Mapa final'!#REF!="Media",'Mapa final'!#REF!="Moderado"),CONCATENATE("R3C",'Mapa final'!#REF!),"")</f>
        <v>#REF!</v>
      </c>
      <c r="AB28" s="46" t="str">
        <f>IF(AND('Mapa final'!$AG$18="Media",'Mapa final'!$AI$18="Mayor"),CONCATENATE("R3C",'Mapa final'!$W$18),"")</f>
        <v/>
      </c>
      <c r="AC28" s="47" t="str">
        <f>IF(AND('Mapa final'!$AG$19="Media",'Mapa final'!$AI$19="Mayor"),CONCATENATE("R3C",'Mapa final'!$W$19),"")</f>
        <v/>
      </c>
      <c r="AD28" s="47" t="str">
        <f>IF(AND('Mapa final'!$AG$20="Media",'Mapa final'!$AI$20="Mayor"),CONCATENATE("R3C",'Mapa final'!$W$20),"")</f>
        <v/>
      </c>
      <c r="AE28" s="47" t="str">
        <f>IF(AND('Mapa final'!$AG$21="Media",'Mapa final'!$AI$21="Mayor"),CONCATENATE("R3C",'Mapa final'!$W$21),"")</f>
        <v/>
      </c>
      <c r="AF28" s="47" t="e">
        <f>IF(AND('Mapa final'!#REF!="Media",'Mapa final'!#REF!="Mayor"),CONCATENATE("R3C",'Mapa final'!#REF!),"")</f>
        <v>#REF!</v>
      </c>
      <c r="AG28" s="48" t="e">
        <f>IF(AND('Mapa final'!#REF!="Media",'Mapa final'!#REF!="Mayor"),CONCATENATE("R3C",'Mapa final'!#REF!),"")</f>
        <v>#REF!</v>
      </c>
      <c r="AH28" s="49" t="str">
        <f>IF(AND('Mapa final'!$AG$18="Media",'Mapa final'!$AI$18="Catastrófico"),CONCATENATE("R3C",'Mapa final'!$W$18),"")</f>
        <v/>
      </c>
      <c r="AI28" s="50" t="str">
        <f>IF(AND('Mapa final'!$AG$19="Media",'Mapa final'!$AI$19="Catastrófico"),CONCATENATE("R3C",'Mapa final'!$W$19),"")</f>
        <v/>
      </c>
      <c r="AJ28" s="50" t="str">
        <f>IF(AND('Mapa final'!$AG$20="Media",'Mapa final'!$AI$20="Catastrófico"),CONCATENATE("R3C",'Mapa final'!$W$20),"")</f>
        <v>R3CC5</v>
      </c>
      <c r="AK28" s="50" t="str">
        <f>IF(AND('Mapa final'!$AG$21="Media",'Mapa final'!$AI$21="Catastrófico"),CONCATENATE("R3C",'Mapa final'!$W$21),"")</f>
        <v/>
      </c>
      <c r="AL28" s="50" t="e">
        <f>IF(AND('Mapa final'!#REF!="Media",'Mapa final'!#REF!="Catastrófico"),CONCATENATE("R3C",'Mapa final'!#REF!),"")</f>
        <v>#REF!</v>
      </c>
      <c r="AM28" s="51" t="e">
        <f>IF(AND('Mapa final'!#REF!="Media",'Mapa final'!#REF!="Catastrófico"),CONCATENATE("R3C",'Mapa final'!#REF!),"")</f>
        <v>#REF!</v>
      </c>
      <c r="AN28" s="77"/>
      <c r="AO28" s="812"/>
      <c r="AP28" s="813"/>
      <c r="AQ28" s="813"/>
      <c r="AR28" s="813"/>
      <c r="AS28" s="813"/>
      <c r="AT28" s="814"/>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row>
    <row r="29" spans="1:76" ht="15" customHeight="1" x14ac:dyDescent="0.25">
      <c r="A29" s="77"/>
      <c r="B29" s="731"/>
      <c r="C29" s="731"/>
      <c r="D29" s="732"/>
      <c r="E29" s="772"/>
      <c r="F29" s="773"/>
      <c r="G29" s="773"/>
      <c r="H29" s="773"/>
      <c r="I29" s="774"/>
      <c r="J29" s="61" t="e">
        <f>IF(AND('Mapa final'!#REF!="Media",'Mapa final'!#REF!="Leve"),CONCATENATE("R4C",'Mapa final'!#REF!),"")</f>
        <v>#REF!</v>
      </c>
      <c r="K29" s="62" t="str">
        <f>IF(AND('Mapa final'!$AG$22="Media",'Mapa final'!$AI$22="Leve"),CONCATENATE("R4C",'Mapa final'!$W$22),"")</f>
        <v/>
      </c>
      <c r="L29" s="62" t="str">
        <f>IF(AND('Mapa final'!$AG$23="Media",'Mapa final'!$AI$23="Leve"),CONCATENATE("R4C",'Mapa final'!$W$23),"")</f>
        <v/>
      </c>
      <c r="M29" s="62" t="str">
        <f>IF(AND('Mapa final'!$AG$24="Media",'Mapa final'!$AI$24="Leve"),CONCATENATE("R4C",'Mapa final'!$W$24),"")</f>
        <v/>
      </c>
      <c r="N29" s="62" t="e">
        <f>IF(AND('Mapa final'!#REF!="Media",'Mapa final'!#REF!="Leve"),CONCATENATE("R4C",'Mapa final'!#REF!),"")</f>
        <v>#REF!</v>
      </c>
      <c r="O29" s="63" t="str">
        <f>IF(AND('Mapa final'!$AG$25="Media",'Mapa final'!$AI$25="Leve"),CONCATENATE("R4C",'Mapa final'!$W$25),"")</f>
        <v/>
      </c>
      <c r="P29" s="61" t="e">
        <f>IF(AND('Mapa final'!#REF!="Media",'Mapa final'!#REF!="Menor"),CONCATENATE("R4C",'Mapa final'!#REF!),"")</f>
        <v>#REF!</v>
      </c>
      <c r="Q29" s="62" t="str">
        <f>IF(AND('Mapa final'!$AG$22="Media",'Mapa final'!$AI$22="Menor"),CONCATENATE("R4C",'Mapa final'!$W$22),"")</f>
        <v/>
      </c>
      <c r="R29" s="62" t="str">
        <f>IF(AND('Mapa final'!$AG$23="Media",'Mapa final'!$AI$23="Menor"),CONCATENATE("R4C",'Mapa final'!$W$23),"")</f>
        <v/>
      </c>
      <c r="S29" s="62" t="str">
        <f>IF(AND('Mapa final'!$AG$24="Media",'Mapa final'!$AI$24="Menor"),CONCATENATE("R4C",'Mapa final'!$W$24),"")</f>
        <v/>
      </c>
      <c r="T29" s="62" t="e">
        <f>IF(AND('Mapa final'!#REF!="Media",'Mapa final'!#REF!="Menor"),CONCATENATE("R4C",'Mapa final'!#REF!),"")</f>
        <v>#REF!</v>
      </c>
      <c r="U29" s="63" t="str">
        <f>IF(AND('Mapa final'!$AG$25="Media",'Mapa final'!$AI$25="Menor"),CONCATENATE("R4C",'Mapa final'!$W$25),"")</f>
        <v/>
      </c>
      <c r="V29" s="61" t="e">
        <f>IF(AND('Mapa final'!#REF!="Media",'Mapa final'!#REF!="Moderado"),CONCATENATE("R4C",'Mapa final'!#REF!),"")</f>
        <v>#REF!</v>
      </c>
      <c r="W29" s="62" t="str">
        <f>IF(AND('Mapa final'!$AG$22="Media",'Mapa final'!$AI$22="Moderado"),CONCATENATE("R4C",'Mapa final'!$W$22),"")</f>
        <v/>
      </c>
      <c r="X29" s="62" t="str">
        <f>IF(AND('Mapa final'!$AG$23="Media",'Mapa final'!$AI$23="Moderado"),CONCATENATE("R4C",'Mapa final'!$W$23),"")</f>
        <v/>
      </c>
      <c r="Y29" s="62" t="str">
        <f>IF(AND('Mapa final'!$AG$24="Media",'Mapa final'!$AI$24="Moderado"),CONCATENATE("R4C",'Mapa final'!$W$24),"")</f>
        <v/>
      </c>
      <c r="Z29" s="62" t="e">
        <f>IF(AND('Mapa final'!#REF!="Media",'Mapa final'!#REF!="Moderado"),CONCATENATE("R4C",'Mapa final'!#REF!),"")</f>
        <v>#REF!</v>
      </c>
      <c r="AA29" s="63" t="str">
        <f>IF(AND('Mapa final'!$AG$25="Media",'Mapa final'!$AI$25="Moderado"),CONCATENATE("R4C",'Mapa final'!$W$25),"")</f>
        <v/>
      </c>
      <c r="AB29" s="46" t="e">
        <f>IF(AND('Mapa final'!#REF!="Media",'Mapa final'!#REF!="Mayor"),CONCATENATE("R4C",'Mapa final'!#REF!),"")</f>
        <v>#REF!</v>
      </c>
      <c r="AC29" s="47" t="str">
        <f>IF(AND('Mapa final'!$AG$22="Media",'Mapa final'!$AI$22="Mayor"),CONCATENATE("R4C",'Mapa final'!$W$22),"")</f>
        <v/>
      </c>
      <c r="AD29" s="47" t="str">
        <f>IF(AND('Mapa final'!$AG$23="Media",'Mapa final'!$AI$23="Mayor"),CONCATENATE("R4C",'Mapa final'!$W$23),"")</f>
        <v/>
      </c>
      <c r="AE29" s="47" t="str">
        <f>IF(AND('Mapa final'!$AG$24="Media",'Mapa final'!$AI$24="Mayor"),CONCATENATE("R4C",'Mapa final'!$W$24),"")</f>
        <v/>
      </c>
      <c r="AF29" s="47" t="e">
        <f>IF(AND('Mapa final'!#REF!="Media",'Mapa final'!#REF!="Mayor"),CONCATENATE("R4C",'Mapa final'!#REF!),"")</f>
        <v>#REF!</v>
      </c>
      <c r="AG29" s="48" t="str">
        <f>IF(AND('Mapa final'!$AG$25="Media",'Mapa final'!$AI$25="Mayor"),CONCATENATE("R4C",'Mapa final'!$W$25),"")</f>
        <v/>
      </c>
      <c r="AH29" s="49" t="e">
        <f>IF(AND('Mapa final'!#REF!="Media",'Mapa final'!#REF!="Catastrófico"),CONCATENATE("R4C",'Mapa final'!#REF!),"")</f>
        <v>#REF!</v>
      </c>
      <c r="AI29" s="50" t="str">
        <f>IF(AND('Mapa final'!$AG$22="Media",'Mapa final'!$AI$22="Catastrófico"),CONCATENATE("R4C",'Mapa final'!$W$22),"")</f>
        <v/>
      </c>
      <c r="AJ29" s="50" t="str">
        <f>IF(AND('Mapa final'!$AG$23="Media",'Mapa final'!$AI$23="Catastrófico"),CONCATENATE("R4C",'Mapa final'!$W$23),"")</f>
        <v/>
      </c>
      <c r="AK29" s="50" t="str">
        <f>IF(AND('Mapa final'!$AG$24="Media",'Mapa final'!$AI$24="Catastrófico"),CONCATENATE("R4C",'Mapa final'!$W$24),"")</f>
        <v/>
      </c>
      <c r="AL29" s="50" t="e">
        <f>IF(AND('Mapa final'!#REF!="Media",'Mapa final'!#REF!="Catastrófico"),CONCATENATE("R4C",'Mapa final'!#REF!),"")</f>
        <v>#REF!</v>
      </c>
      <c r="AM29" s="51" t="str">
        <f>IF(AND('Mapa final'!$AG$25="Media",'Mapa final'!$AI$25="Catastrófico"),CONCATENATE("R4C",'Mapa final'!$W$25),"")</f>
        <v/>
      </c>
      <c r="AN29" s="77"/>
      <c r="AO29" s="812"/>
      <c r="AP29" s="813"/>
      <c r="AQ29" s="813"/>
      <c r="AR29" s="813"/>
      <c r="AS29" s="813"/>
      <c r="AT29" s="814"/>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row>
    <row r="30" spans="1:76" ht="15" customHeight="1" x14ac:dyDescent="0.25">
      <c r="A30" s="77"/>
      <c r="B30" s="731"/>
      <c r="C30" s="731"/>
      <c r="D30" s="732"/>
      <c r="E30" s="772"/>
      <c r="F30" s="773"/>
      <c r="G30" s="773"/>
      <c r="H30" s="773"/>
      <c r="I30" s="774"/>
      <c r="J30" s="61" t="e">
        <f>IF(AND('Mapa final'!#REF!="Media",'Mapa final'!#REF!="Leve"),CONCATENATE("R5C",'Mapa final'!#REF!),"")</f>
        <v>#REF!</v>
      </c>
      <c r="K30" s="62" t="str">
        <f>IF(AND('Mapa final'!$AG$26="Media",'Mapa final'!$AI$26="Leve"),CONCATENATE("R5C",'Mapa final'!$W$26),"")</f>
        <v/>
      </c>
      <c r="L30" s="62" t="str">
        <f>IF(AND('Mapa final'!$AG$27="Media",'Mapa final'!$AI$27="Leve"),CONCATENATE("R5C",'Mapa final'!$W$27),"")</f>
        <v/>
      </c>
      <c r="M30" s="62" t="str">
        <f>IF(AND('Mapa final'!$AG$28="Media",'Mapa final'!$AI$28="Leve"),CONCATENATE("R5C",'Mapa final'!$W$28),"")</f>
        <v/>
      </c>
      <c r="N30" s="62" t="str">
        <f>IF(AND('Mapa final'!$AG$29="Media",'Mapa final'!$AI$29="Leve"),CONCATENATE("R5C",'Mapa final'!$W$29),"")</f>
        <v/>
      </c>
      <c r="O30" s="63" t="str">
        <f>IF(AND('Mapa final'!$AG$30="Media",'Mapa final'!$AI$30="Leve"),CONCATENATE("R5C",'Mapa final'!$W$30),"")</f>
        <v/>
      </c>
      <c r="P30" s="61" t="e">
        <f>IF(AND('Mapa final'!#REF!="Media",'Mapa final'!#REF!="Menor"),CONCATENATE("R5C",'Mapa final'!#REF!),"")</f>
        <v>#REF!</v>
      </c>
      <c r="Q30" s="62" t="str">
        <f>IF(AND('Mapa final'!$AG$26="Media",'Mapa final'!$AI$26="Menor"),CONCATENATE("R5C",'Mapa final'!$W$26),"")</f>
        <v/>
      </c>
      <c r="R30" s="62" t="str">
        <f>IF(AND('Mapa final'!$AG$27="Media",'Mapa final'!$AI$27="Menor"),CONCATENATE("R5C",'Mapa final'!$W$27),"")</f>
        <v/>
      </c>
      <c r="S30" s="62" t="str">
        <f>IF(AND('Mapa final'!$AG$28="Media",'Mapa final'!$AI$28="Menor"),CONCATENATE("R5C",'Mapa final'!$W$28),"")</f>
        <v/>
      </c>
      <c r="T30" s="62" t="str">
        <f>IF(AND('Mapa final'!$AG$29="Media",'Mapa final'!$AI$29="Menor"),CONCATENATE("R5C",'Mapa final'!$W$29),"")</f>
        <v/>
      </c>
      <c r="U30" s="63" t="str">
        <f>IF(AND('Mapa final'!$AG$30="Media",'Mapa final'!$AI$30="Menor"),CONCATENATE("R5C",'Mapa final'!$W$30),"")</f>
        <v/>
      </c>
      <c r="V30" s="61" t="e">
        <f>IF(AND('Mapa final'!#REF!="Media",'Mapa final'!#REF!="Moderado"),CONCATENATE("R5C",'Mapa final'!#REF!),"")</f>
        <v>#REF!</v>
      </c>
      <c r="W30" s="62" t="str">
        <f>IF(AND('Mapa final'!$AG$26="Media",'Mapa final'!$AI$26="Moderado"),CONCATENATE("R5C",'Mapa final'!$W$26),"")</f>
        <v/>
      </c>
      <c r="X30" s="62" t="str">
        <f>IF(AND('Mapa final'!$AG$27="Media",'Mapa final'!$AI$27="Moderado"),CONCATENATE("R5C",'Mapa final'!$W$27),"")</f>
        <v/>
      </c>
      <c r="Y30" s="62" t="str">
        <f>IF(AND('Mapa final'!$AG$28="Media",'Mapa final'!$AI$28="Moderado"),CONCATENATE("R5C",'Mapa final'!$W$28),"")</f>
        <v/>
      </c>
      <c r="Z30" s="62" t="str">
        <f>IF(AND('Mapa final'!$AG$29="Media",'Mapa final'!$AI$29="Moderado"),CONCATENATE("R5C",'Mapa final'!$W$29),"")</f>
        <v/>
      </c>
      <c r="AA30" s="63" t="str">
        <f>IF(AND('Mapa final'!$AG$30="Media",'Mapa final'!$AI$30="Moderado"),CONCATENATE("R5C",'Mapa final'!$W$30),"")</f>
        <v/>
      </c>
      <c r="AB30" s="46" t="e">
        <f>IF(AND('Mapa final'!#REF!="Media",'Mapa final'!#REF!="Mayor"),CONCATENATE("R5C",'Mapa final'!#REF!),"")</f>
        <v>#REF!</v>
      </c>
      <c r="AC30" s="47" t="str">
        <f>IF(AND('Mapa final'!$AG$26="Media",'Mapa final'!$AI$26="Mayor"),CONCATENATE("R5C",'Mapa final'!$W$26),"")</f>
        <v/>
      </c>
      <c r="AD30" s="47" t="str">
        <f>IF(AND('Mapa final'!$AG$27="Media",'Mapa final'!$AI$27="Mayor"),CONCATENATE("R5C",'Mapa final'!$W$27),"")</f>
        <v/>
      </c>
      <c r="AE30" s="47" t="str">
        <f>IF(AND('Mapa final'!$AG$28="Media",'Mapa final'!$AI$28="Mayor"),CONCATENATE("R5C",'Mapa final'!$W$28),"")</f>
        <v/>
      </c>
      <c r="AF30" s="47" t="str">
        <f>IF(AND('Mapa final'!$AG$29="Media",'Mapa final'!$AI$29="Mayor"),CONCATENATE("R5C",'Mapa final'!$W$29),"")</f>
        <v/>
      </c>
      <c r="AG30" s="48" t="str">
        <f>IF(AND('Mapa final'!$AG$30="Media",'Mapa final'!$AI$30="Mayor"),CONCATENATE("R5C",'Mapa final'!$W$30),"")</f>
        <v/>
      </c>
      <c r="AH30" s="49" t="e">
        <f>IF(AND('Mapa final'!#REF!="Media",'Mapa final'!#REF!="Catastrófico"),CONCATENATE("R5C",'Mapa final'!#REF!),"")</f>
        <v>#REF!</v>
      </c>
      <c r="AI30" s="50" t="str">
        <f>IF(AND('Mapa final'!$AG$26="Media",'Mapa final'!$AI$26="Catastrófico"),CONCATENATE("R5C",'Mapa final'!$W$26),"")</f>
        <v/>
      </c>
      <c r="AJ30" s="50" t="str">
        <f>IF(AND('Mapa final'!$AG$27="Media",'Mapa final'!$AI$27="Catastrófico"),CONCATENATE("R5C",'Mapa final'!$W$27),"")</f>
        <v/>
      </c>
      <c r="AK30" s="50" t="str">
        <f>IF(AND('Mapa final'!$AG$28="Media",'Mapa final'!$AI$28="Catastrófico"),CONCATENATE("R5C",'Mapa final'!$W$28),"")</f>
        <v/>
      </c>
      <c r="AL30" s="50" t="str">
        <f>IF(AND('Mapa final'!$AG$29="Media",'Mapa final'!$AI$29="Catastrófico"),CONCATENATE("R5C",'Mapa final'!$W$29),"")</f>
        <v/>
      </c>
      <c r="AM30" s="51" t="str">
        <f>IF(AND('Mapa final'!$AG$30="Media",'Mapa final'!$AI$30="Catastrófico"),CONCATENATE("R5C",'Mapa final'!$W$30),"")</f>
        <v/>
      </c>
      <c r="AN30" s="77"/>
      <c r="AO30" s="812"/>
      <c r="AP30" s="813"/>
      <c r="AQ30" s="813"/>
      <c r="AR30" s="813"/>
      <c r="AS30" s="813"/>
      <c r="AT30" s="814"/>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row>
    <row r="31" spans="1:76" ht="15" customHeight="1" x14ac:dyDescent="0.25">
      <c r="A31" s="77"/>
      <c r="B31" s="731"/>
      <c r="C31" s="731"/>
      <c r="D31" s="732"/>
      <c r="E31" s="772"/>
      <c r="F31" s="773"/>
      <c r="G31" s="773"/>
      <c r="H31" s="773"/>
      <c r="I31" s="774"/>
      <c r="J31" s="61" t="str">
        <f>IF(AND('Mapa final'!$AG$31="Media",'Mapa final'!$AI$31="Leve"),CONCATENATE("R6C",'Mapa final'!$W$31),"")</f>
        <v/>
      </c>
      <c r="K31" s="62" t="str">
        <f>IF(AND('Mapa final'!$AG$32="Media",'Mapa final'!$AI$32="Leve"),CONCATENATE("R6C",'Mapa final'!$W$32),"")</f>
        <v/>
      </c>
      <c r="L31" s="62" t="str">
        <f>IF(AND('Mapa final'!$AG$33="Media",'Mapa final'!$AI$33="Leve"),CONCATENATE("R6C",'Mapa final'!$W$33),"")</f>
        <v/>
      </c>
      <c r="M31" s="62" t="e">
        <f>IF(AND('Mapa final'!#REF!="Media",'Mapa final'!#REF!="Leve"),CONCATENATE("R6C",'Mapa final'!#REF!),"")</f>
        <v>#REF!</v>
      </c>
      <c r="N31" s="62" t="e">
        <f>IF(AND('Mapa final'!#REF!="Media",'Mapa final'!#REF!="Leve"),CONCATENATE("R6C",'Mapa final'!#REF!),"")</f>
        <v>#REF!</v>
      </c>
      <c r="O31" s="63" t="e">
        <f>IF(AND('Mapa final'!#REF!="Media",'Mapa final'!#REF!="Leve"),CONCATENATE("R6C",'Mapa final'!#REF!),"")</f>
        <v>#REF!</v>
      </c>
      <c r="P31" s="61" t="str">
        <f>IF(AND('Mapa final'!$AG$31="Media",'Mapa final'!$AI$31="Menor"),CONCATENATE("R6C",'Mapa final'!$W$31),"")</f>
        <v/>
      </c>
      <c r="Q31" s="62" t="str">
        <f>IF(AND('Mapa final'!$AG$32="Media",'Mapa final'!$AI$32="Menor"),CONCATENATE("R6C",'Mapa final'!$W$32),"")</f>
        <v/>
      </c>
      <c r="R31" s="62" t="str">
        <f>IF(AND('Mapa final'!$AG$33="Media",'Mapa final'!$AI$33="Menor"),CONCATENATE("R6C",'Mapa final'!$W$33),"")</f>
        <v/>
      </c>
      <c r="S31" s="62" t="e">
        <f>IF(AND('Mapa final'!#REF!="Media",'Mapa final'!#REF!="Menor"),CONCATENATE("R6C",'Mapa final'!#REF!),"")</f>
        <v>#REF!</v>
      </c>
      <c r="T31" s="62" t="e">
        <f>IF(AND('Mapa final'!#REF!="Media",'Mapa final'!#REF!="Menor"),CONCATENATE("R6C",'Mapa final'!#REF!),"")</f>
        <v>#REF!</v>
      </c>
      <c r="U31" s="63" t="e">
        <f>IF(AND('Mapa final'!#REF!="Media",'Mapa final'!#REF!="Menor"),CONCATENATE("R6C",'Mapa final'!#REF!),"")</f>
        <v>#REF!</v>
      </c>
      <c r="V31" s="61" t="str">
        <f>IF(AND('Mapa final'!$AG$31="Media",'Mapa final'!$AI$31="Moderado"),CONCATENATE("R6C",'Mapa final'!$W$31),"")</f>
        <v/>
      </c>
      <c r="W31" s="62" t="str">
        <f>IF(AND('Mapa final'!$AG$32="Media",'Mapa final'!$AI$32="Moderado"),CONCATENATE("R6C",'Mapa final'!$W$32),"")</f>
        <v/>
      </c>
      <c r="X31" s="62" t="str">
        <f>IF(AND('Mapa final'!$AG$33="Media",'Mapa final'!$AI$33="Moderado"),CONCATENATE("R6C",'Mapa final'!$W$33),"")</f>
        <v/>
      </c>
      <c r="Y31" s="62" t="e">
        <f>IF(AND('Mapa final'!#REF!="Media",'Mapa final'!#REF!="Moderado"),CONCATENATE("R6C",'Mapa final'!#REF!),"")</f>
        <v>#REF!</v>
      </c>
      <c r="Z31" s="62" t="e">
        <f>IF(AND('Mapa final'!#REF!="Media",'Mapa final'!#REF!="Moderado"),CONCATENATE("R6C",'Mapa final'!#REF!),"")</f>
        <v>#REF!</v>
      </c>
      <c r="AA31" s="63" t="e">
        <f>IF(AND('Mapa final'!#REF!="Media",'Mapa final'!#REF!="Moderado"),CONCATENATE("R6C",'Mapa final'!#REF!),"")</f>
        <v>#REF!</v>
      </c>
      <c r="AB31" s="46" t="str">
        <f>IF(AND('Mapa final'!$AG$31="Media",'Mapa final'!$AI$31="Mayor"),CONCATENATE("R6C",'Mapa final'!$W$31),"")</f>
        <v/>
      </c>
      <c r="AC31" s="47" t="str">
        <f>IF(AND('Mapa final'!$AG$32="Media",'Mapa final'!$AI$32="Mayor"),CONCATENATE("R6C",'Mapa final'!$W$32),"")</f>
        <v/>
      </c>
      <c r="AD31" s="47" t="str">
        <f>IF(AND('Mapa final'!$AG$33="Media",'Mapa final'!$AI$33="Mayor"),CONCATENATE("R6C",'Mapa final'!$W$33),"")</f>
        <v/>
      </c>
      <c r="AE31" s="47" t="e">
        <f>IF(AND('Mapa final'!#REF!="Media",'Mapa final'!#REF!="Mayor"),CONCATENATE("R6C",'Mapa final'!#REF!),"")</f>
        <v>#REF!</v>
      </c>
      <c r="AF31" s="47" t="e">
        <f>IF(AND('Mapa final'!#REF!="Media",'Mapa final'!#REF!="Mayor"),CONCATENATE("R6C",'Mapa final'!#REF!),"")</f>
        <v>#REF!</v>
      </c>
      <c r="AG31" s="48" t="e">
        <f>IF(AND('Mapa final'!#REF!="Media",'Mapa final'!#REF!="Mayor"),CONCATENATE("R6C",'Mapa final'!#REF!),"")</f>
        <v>#REF!</v>
      </c>
      <c r="AH31" s="49" t="str">
        <f>IF(AND('Mapa final'!$AG$31="Media",'Mapa final'!$AI$31="Catastrófico"),CONCATENATE("R6C",'Mapa final'!$W$31),"")</f>
        <v/>
      </c>
      <c r="AI31" s="50" t="str">
        <f>IF(AND('Mapa final'!$AG$32="Media",'Mapa final'!$AI$32="Catastrófico"),CONCATENATE("R6C",'Mapa final'!$W$32),"")</f>
        <v/>
      </c>
      <c r="AJ31" s="50" t="str">
        <f>IF(AND('Mapa final'!$AG$33="Media",'Mapa final'!$AI$33="Catastrófico"),CONCATENATE("R6C",'Mapa final'!$W$33),"")</f>
        <v/>
      </c>
      <c r="AK31" s="50" t="e">
        <f>IF(AND('Mapa final'!#REF!="Media",'Mapa final'!#REF!="Catastrófico"),CONCATENATE("R6C",'Mapa final'!#REF!),"")</f>
        <v>#REF!</v>
      </c>
      <c r="AL31" s="50" t="e">
        <f>IF(AND('Mapa final'!#REF!="Media",'Mapa final'!#REF!="Catastrófico"),CONCATENATE("R6C",'Mapa final'!#REF!),"")</f>
        <v>#REF!</v>
      </c>
      <c r="AM31" s="51" t="e">
        <f>IF(AND('Mapa final'!#REF!="Media",'Mapa final'!#REF!="Catastrófico"),CONCATENATE("R6C",'Mapa final'!#REF!),"")</f>
        <v>#REF!</v>
      </c>
      <c r="AN31" s="77"/>
      <c r="AO31" s="812"/>
      <c r="AP31" s="813"/>
      <c r="AQ31" s="813"/>
      <c r="AR31" s="813"/>
      <c r="AS31" s="813"/>
      <c r="AT31" s="814"/>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row>
    <row r="32" spans="1:76" ht="15" customHeight="1" x14ac:dyDescent="0.25">
      <c r="A32" s="77"/>
      <c r="B32" s="731"/>
      <c r="C32" s="731"/>
      <c r="D32" s="732"/>
      <c r="E32" s="772"/>
      <c r="F32" s="773"/>
      <c r="G32" s="773"/>
      <c r="H32" s="773"/>
      <c r="I32" s="774"/>
      <c r="J32" s="61" t="e">
        <f>IF(AND('Mapa final'!#REF!="Media",'Mapa final'!#REF!="Leve"),CONCATENATE("R7C",'Mapa final'!#REF!),"")</f>
        <v>#REF!</v>
      </c>
      <c r="K32" s="62" t="e">
        <f>IF(AND('Mapa final'!#REF!="Media",'Mapa final'!#REF!="Leve"),CONCATENATE("R7C",'Mapa final'!#REF!),"")</f>
        <v>#REF!</v>
      </c>
      <c r="L32" s="62" t="e">
        <f>IF(AND('Mapa final'!#REF!="Media",'Mapa final'!#REF!="Leve"),CONCATENATE("R7C",'Mapa final'!#REF!),"")</f>
        <v>#REF!</v>
      </c>
      <c r="M32" s="62" t="str">
        <f>IF(AND('Mapa final'!$AG$36="Media",'Mapa final'!$AI$36="Leve"),CONCATENATE("R7C",'Mapa final'!$W$36),"")</f>
        <v/>
      </c>
      <c r="N32" s="62" t="e">
        <f>IF(AND('Mapa final'!#REF!="Media",'Mapa final'!#REF!="Leve"),CONCATENATE("R7C",'Mapa final'!#REF!),"")</f>
        <v>#REF!</v>
      </c>
      <c r="O32" s="63" t="e">
        <f>IF(AND('Mapa final'!#REF!="Media",'Mapa final'!#REF!="Leve"),CONCATENATE("R7C",'Mapa final'!#REF!),"")</f>
        <v>#REF!</v>
      </c>
      <c r="P32" s="61" t="e">
        <f>IF(AND('Mapa final'!#REF!="Media",'Mapa final'!#REF!="Menor"),CONCATENATE("R7C",'Mapa final'!#REF!),"")</f>
        <v>#REF!</v>
      </c>
      <c r="Q32" s="62" t="e">
        <f>IF(AND('Mapa final'!#REF!="Media",'Mapa final'!#REF!="Menor"),CONCATENATE("R7C",'Mapa final'!#REF!),"")</f>
        <v>#REF!</v>
      </c>
      <c r="R32" s="62" t="e">
        <f>IF(AND('Mapa final'!#REF!="Media",'Mapa final'!#REF!="Menor"),CONCATENATE("R7C",'Mapa final'!#REF!),"")</f>
        <v>#REF!</v>
      </c>
      <c r="S32" s="62" t="str">
        <f>IF(AND('Mapa final'!$AG$36="Media",'Mapa final'!$AI$36="Menor"),CONCATENATE("R7C",'Mapa final'!$W$36),"")</f>
        <v/>
      </c>
      <c r="T32" s="62" t="e">
        <f>IF(AND('Mapa final'!#REF!="Media",'Mapa final'!#REF!="Menor"),CONCATENATE("R7C",'Mapa final'!#REF!),"")</f>
        <v>#REF!</v>
      </c>
      <c r="U32" s="63" t="e">
        <f>IF(AND('Mapa final'!#REF!="Media",'Mapa final'!#REF!="Menor"),CONCATENATE("R7C",'Mapa final'!#REF!),"")</f>
        <v>#REF!</v>
      </c>
      <c r="V32" s="61" t="e">
        <f>IF(AND('Mapa final'!#REF!="Media",'Mapa final'!#REF!="Moderado"),CONCATENATE("R7C",'Mapa final'!#REF!),"")</f>
        <v>#REF!</v>
      </c>
      <c r="W32" s="62" t="e">
        <f>IF(AND('Mapa final'!#REF!="Media",'Mapa final'!#REF!="Moderado"),CONCATENATE("R7C",'Mapa final'!#REF!),"")</f>
        <v>#REF!</v>
      </c>
      <c r="X32" s="62" t="e">
        <f>IF(AND('Mapa final'!#REF!="Media",'Mapa final'!#REF!="Moderado"),CONCATENATE("R7C",'Mapa final'!#REF!),"")</f>
        <v>#REF!</v>
      </c>
      <c r="Y32" s="62" t="str">
        <f>IF(AND('Mapa final'!$AG$36="Media",'Mapa final'!$AI$36="Moderado"),CONCATENATE("R7C",'Mapa final'!$W$36),"")</f>
        <v/>
      </c>
      <c r="Z32" s="62" t="e">
        <f>IF(AND('Mapa final'!#REF!="Media",'Mapa final'!#REF!="Moderado"),CONCATENATE("R7C",'Mapa final'!#REF!),"")</f>
        <v>#REF!</v>
      </c>
      <c r="AA32" s="63" t="e">
        <f>IF(AND('Mapa final'!#REF!="Media",'Mapa final'!#REF!="Moderado"),CONCATENATE("R7C",'Mapa final'!#REF!),"")</f>
        <v>#REF!</v>
      </c>
      <c r="AB32" s="46" t="e">
        <f>IF(AND('Mapa final'!#REF!="Media",'Mapa final'!#REF!="Mayor"),CONCATENATE("R7C",'Mapa final'!#REF!),"")</f>
        <v>#REF!</v>
      </c>
      <c r="AC32" s="47" t="e">
        <f>IF(AND('Mapa final'!#REF!="Media",'Mapa final'!#REF!="Mayor"),CONCATENATE("R7C",'Mapa final'!#REF!),"")</f>
        <v>#REF!</v>
      </c>
      <c r="AD32" s="47" t="e">
        <f>IF(AND('Mapa final'!#REF!="Media",'Mapa final'!#REF!="Mayor"),CONCATENATE("R7C",'Mapa final'!#REF!),"")</f>
        <v>#REF!</v>
      </c>
      <c r="AE32" s="47" t="str">
        <f>IF(AND('Mapa final'!$AG$36="Media",'Mapa final'!$AI$36="Mayor"),CONCATENATE("R7C",'Mapa final'!$W$36),"")</f>
        <v/>
      </c>
      <c r="AF32" s="47" t="e">
        <f>IF(AND('Mapa final'!#REF!="Media",'Mapa final'!#REF!="Mayor"),CONCATENATE("R7C",'Mapa final'!#REF!),"")</f>
        <v>#REF!</v>
      </c>
      <c r="AG32" s="48" t="e">
        <f>IF(AND('Mapa final'!#REF!="Media",'Mapa final'!#REF!="Mayor"),CONCATENATE("R7C",'Mapa final'!#REF!),"")</f>
        <v>#REF!</v>
      </c>
      <c r="AH32" s="49" t="e">
        <f>IF(AND('Mapa final'!#REF!="Media",'Mapa final'!#REF!="Catastrófico"),CONCATENATE("R7C",'Mapa final'!#REF!),"")</f>
        <v>#REF!</v>
      </c>
      <c r="AI32" s="50" t="e">
        <f>IF(AND('Mapa final'!#REF!="Media",'Mapa final'!#REF!="Catastrófico"),CONCATENATE("R7C",'Mapa final'!#REF!),"")</f>
        <v>#REF!</v>
      </c>
      <c r="AJ32" s="50" t="e">
        <f>IF(AND('Mapa final'!#REF!="Media",'Mapa final'!#REF!="Catastrófico"),CONCATENATE("R7C",'Mapa final'!#REF!),"")</f>
        <v>#REF!</v>
      </c>
      <c r="AK32" s="50" t="str">
        <f>IF(AND('Mapa final'!$AG$36="Media",'Mapa final'!$AI$36="Catastrófico"),CONCATENATE("R7C",'Mapa final'!$W$36),"")</f>
        <v/>
      </c>
      <c r="AL32" s="50" t="e">
        <f>IF(AND('Mapa final'!#REF!="Media",'Mapa final'!#REF!="Catastrófico"),CONCATENATE("R7C",'Mapa final'!#REF!),"")</f>
        <v>#REF!</v>
      </c>
      <c r="AM32" s="51" t="e">
        <f>IF(AND('Mapa final'!#REF!="Media",'Mapa final'!#REF!="Catastrófico"),CONCATENATE("R7C",'Mapa final'!#REF!),"")</f>
        <v>#REF!</v>
      </c>
      <c r="AN32" s="77"/>
      <c r="AO32" s="812"/>
      <c r="AP32" s="813"/>
      <c r="AQ32" s="813"/>
      <c r="AR32" s="813"/>
      <c r="AS32" s="813"/>
      <c r="AT32" s="814"/>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row>
    <row r="33" spans="1:80" ht="15" customHeight="1" x14ac:dyDescent="0.25">
      <c r="A33" s="77"/>
      <c r="B33" s="731"/>
      <c r="C33" s="731"/>
      <c r="D33" s="732"/>
      <c r="E33" s="772"/>
      <c r="F33" s="773"/>
      <c r="G33" s="773"/>
      <c r="H33" s="773"/>
      <c r="I33" s="774"/>
      <c r="J33" s="61" t="e">
        <f>IF(AND('Mapa final'!#REF!="Media",'Mapa final'!#REF!="Leve"),CONCATENATE("R8C",'Mapa final'!#REF!),"")</f>
        <v>#REF!</v>
      </c>
      <c r="K33" s="62" t="e">
        <f>IF(AND('Mapa final'!#REF!="Media",'Mapa final'!#REF!="Leve"),CONCATENATE("R8C",'Mapa final'!#REF!),"")</f>
        <v>#REF!</v>
      </c>
      <c r="L33" s="62" t="e">
        <f>IF(AND('Mapa final'!#REF!="Media",'Mapa final'!#REF!="Leve"),CONCATENATE("R8C",'Mapa final'!#REF!),"")</f>
        <v>#REF!</v>
      </c>
      <c r="M33" s="62" t="e">
        <f>IF(AND('Mapa final'!#REF!="Media",'Mapa final'!#REF!="Leve"),CONCATENATE("R8C",'Mapa final'!#REF!),"")</f>
        <v>#REF!</v>
      </c>
      <c r="N33" s="62" t="e">
        <f>IF(AND('Mapa final'!#REF!="Media",'Mapa final'!#REF!="Leve"),CONCATENATE("R8C",'Mapa final'!#REF!),"")</f>
        <v>#REF!</v>
      </c>
      <c r="O33" s="63" t="e">
        <f>IF(AND('Mapa final'!#REF!="Media",'Mapa final'!#REF!="Leve"),CONCATENATE("R8C",'Mapa final'!#REF!),"")</f>
        <v>#REF!</v>
      </c>
      <c r="P33" s="61" t="e">
        <f>IF(AND('Mapa final'!#REF!="Media",'Mapa final'!#REF!="Menor"),CONCATENATE("R8C",'Mapa final'!#REF!),"")</f>
        <v>#REF!</v>
      </c>
      <c r="Q33" s="62" t="e">
        <f>IF(AND('Mapa final'!#REF!="Media",'Mapa final'!#REF!="Menor"),CONCATENATE("R8C",'Mapa final'!#REF!),"")</f>
        <v>#REF!</v>
      </c>
      <c r="R33" s="62" t="e">
        <f>IF(AND('Mapa final'!#REF!="Media",'Mapa final'!#REF!="Menor"),CONCATENATE("R8C",'Mapa final'!#REF!),"")</f>
        <v>#REF!</v>
      </c>
      <c r="S33" s="62" t="e">
        <f>IF(AND('Mapa final'!#REF!="Media",'Mapa final'!#REF!="Menor"),CONCATENATE("R8C",'Mapa final'!#REF!),"")</f>
        <v>#REF!</v>
      </c>
      <c r="T33" s="62" t="e">
        <f>IF(AND('Mapa final'!#REF!="Media",'Mapa final'!#REF!="Menor"),CONCATENATE("R8C",'Mapa final'!#REF!),"")</f>
        <v>#REF!</v>
      </c>
      <c r="U33" s="63" t="e">
        <f>IF(AND('Mapa final'!#REF!="Media",'Mapa final'!#REF!="Menor"),CONCATENATE("R8C",'Mapa final'!#REF!),"")</f>
        <v>#REF!</v>
      </c>
      <c r="V33" s="61" t="e">
        <f>IF(AND('Mapa final'!#REF!="Media",'Mapa final'!#REF!="Moderado"),CONCATENATE("R8C",'Mapa final'!#REF!),"")</f>
        <v>#REF!</v>
      </c>
      <c r="W33" s="62" t="e">
        <f>IF(AND('Mapa final'!#REF!="Media",'Mapa final'!#REF!="Moderado"),CONCATENATE("R8C",'Mapa final'!#REF!),"")</f>
        <v>#REF!</v>
      </c>
      <c r="X33" s="62" t="e">
        <f>IF(AND('Mapa final'!#REF!="Media",'Mapa final'!#REF!="Moderado"),CONCATENATE("R8C",'Mapa final'!#REF!),"")</f>
        <v>#REF!</v>
      </c>
      <c r="Y33" s="62" t="e">
        <f>IF(AND('Mapa final'!#REF!="Media",'Mapa final'!#REF!="Moderado"),CONCATENATE("R8C",'Mapa final'!#REF!),"")</f>
        <v>#REF!</v>
      </c>
      <c r="Z33" s="62" t="e">
        <f>IF(AND('Mapa final'!#REF!="Media",'Mapa final'!#REF!="Moderado"),CONCATENATE("R8C",'Mapa final'!#REF!),"")</f>
        <v>#REF!</v>
      </c>
      <c r="AA33" s="63" t="e">
        <f>IF(AND('Mapa final'!#REF!="Media",'Mapa final'!#REF!="Moderado"),CONCATENATE("R8C",'Mapa final'!#REF!),"")</f>
        <v>#REF!</v>
      </c>
      <c r="AB33" s="46" t="e">
        <f>IF(AND('Mapa final'!#REF!="Media",'Mapa final'!#REF!="Mayor"),CONCATENATE("R8C",'Mapa final'!#REF!),"")</f>
        <v>#REF!</v>
      </c>
      <c r="AC33" s="47" t="e">
        <f>IF(AND('Mapa final'!#REF!="Media",'Mapa final'!#REF!="Mayor"),CONCATENATE("R8C",'Mapa final'!#REF!),"")</f>
        <v>#REF!</v>
      </c>
      <c r="AD33" s="47" t="e">
        <f>IF(AND('Mapa final'!#REF!="Media",'Mapa final'!#REF!="Mayor"),CONCATENATE("R8C",'Mapa final'!#REF!),"")</f>
        <v>#REF!</v>
      </c>
      <c r="AE33" s="47" t="e">
        <f>IF(AND('Mapa final'!#REF!="Media",'Mapa final'!#REF!="Mayor"),CONCATENATE("R8C",'Mapa final'!#REF!),"")</f>
        <v>#REF!</v>
      </c>
      <c r="AF33" s="47" t="e">
        <f>IF(AND('Mapa final'!#REF!="Media",'Mapa final'!#REF!="Mayor"),CONCATENATE("R8C",'Mapa final'!#REF!),"")</f>
        <v>#REF!</v>
      </c>
      <c r="AG33" s="48" t="e">
        <f>IF(AND('Mapa final'!#REF!="Media",'Mapa final'!#REF!="Mayor"),CONCATENATE("R8C",'Mapa final'!#REF!),"")</f>
        <v>#REF!</v>
      </c>
      <c r="AH33" s="49" t="e">
        <f>IF(AND('Mapa final'!#REF!="Media",'Mapa final'!#REF!="Catastrófico"),CONCATENATE("R8C",'Mapa final'!#REF!),"")</f>
        <v>#REF!</v>
      </c>
      <c r="AI33" s="50" t="e">
        <f>IF(AND('Mapa final'!#REF!="Media",'Mapa final'!#REF!="Catastrófico"),CONCATENATE("R8C",'Mapa final'!#REF!),"")</f>
        <v>#REF!</v>
      </c>
      <c r="AJ33" s="50" t="e">
        <f>IF(AND('Mapa final'!#REF!="Media",'Mapa final'!#REF!="Catastrófico"),CONCATENATE("R8C",'Mapa final'!#REF!),"")</f>
        <v>#REF!</v>
      </c>
      <c r="AK33" s="50" t="e">
        <f>IF(AND('Mapa final'!#REF!="Media",'Mapa final'!#REF!="Catastrófico"),CONCATENATE("R8C",'Mapa final'!#REF!),"")</f>
        <v>#REF!</v>
      </c>
      <c r="AL33" s="50" t="e">
        <f>IF(AND('Mapa final'!#REF!="Media",'Mapa final'!#REF!="Catastrófico"),CONCATENATE("R8C",'Mapa final'!#REF!),"")</f>
        <v>#REF!</v>
      </c>
      <c r="AM33" s="51" t="e">
        <f>IF(AND('Mapa final'!#REF!="Media",'Mapa final'!#REF!="Catastrófico"),CONCATENATE("R8C",'Mapa final'!#REF!),"")</f>
        <v>#REF!</v>
      </c>
      <c r="AN33" s="77"/>
      <c r="AO33" s="812"/>
      <c r="AP33" s="813"/>
      <c r="AQ33" s="813"/>
      <c r="AR33" s="813"/>
      <c r="AS33" s="813"/>
      <c r="AT33" s="814"/>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row>
    <row r="34" spans="1:80" ht="15" customHeight="1" x14ac:dyDescent="0.25">
      <c r="A34" s="77"/>
      <c r="B34" s="731"/>
      <c r="C34" s="731"/>
      <c r="D34" s="732"/>
      <c r="E34" s="772"/>
      <c r="F34" s="773"/>
      <c r="G34" s="773"/>
      <c r="H34" s="773"/>
      <c r="I34" s="774"/>
      <c r="J34" s="61" t="e">
        <f>IF(AND('Mapa final'!#REF!="Media",'Mapa final'!#REF!="Leve"),CONCATENATE("R9C",'Mapa final'!#REF!),"")</f>
        <v>#REF!</v>
      </c>
      <c r="K34" s="62" t="e">
        <f>IF(AND('Mapa final'!#REF!="Media",'Mapa final'!#REF!="Leve"),CONCATENATE("R9C",'Mapa final'!#REF!),"")</f>
        <v>#REF!</v>
      </c>
      <c r="L34" s="62" t="e">
        <f>IF(AND('Mapa final'!#REF!="Media",'Mapa final'!#REF!="Leve"),CONCATENATE("R9C",'Mapa final'!#REF!),"")</f>
        <v>#REF!</v>
      </c>
      <c r="M34" s="62" t="e">
        <f>IF(AND('Mapa final'!#REF!="Media",'Mapa final'!#REF!="Leve"),CONCATENATE("R9C",'Mapa final'!#REF!),"")</f>
        <v>#REF!</v>
      </c>
      <c r="N34" s="62" t="str">
        <f>IF(AND('Mapa final'!$AG$48="Media",'Mapa final'!$AI$48="Leve"),CONCATENATE("R9C",'Mapa final'!$W$48),"")</f>
        <v/>
      </c>
      <c r="O34" s="63" t="str">
        <f>IF(AND('Mapa final'!$AG$49="Media",'Mapa final'!$AI$49="Leve"),CONCATENATE("R9C",'Mapa final'!$W$49),"")</f>
        <v/>
      </c>
      <c r="P34" s="61" t="e">
        <f>IF(AND('Mapa final'!#REF!="Media",'Mapa final'!#REF!="Menor"),CONCATENATE("R9C",'Mapa final'!#REF!),"")</f>
        <v>#REF!</v>
      </c>
      <c r="Q34" s="62" t="e">
        <f>IF(AND('Mapa final'!#REF!="Media",'Mapa final'!#REF!="Menor"),CONCATENATE("R9C",'Mapa final'!#REF!),"")</f>
        <v>#REF!</v>
      </c>
      <c r="R34" s="62" t="e">
        <f>IF(AND('Mapa final'!#REF!="Media",'Mapa final'!#REF!="Menor"),CONCATENATE("R9C",'Mapa final'!#REF!),"")</f>
        <v>#REF!</v>
      </c>
      <c r="S34" s="62" t="e">
        <f>IF(AND('Mapa final'!#REF!="Media",'Mapa final'!#REF!="Menor"),CONCATENATE("R9C",'Mapa final'!#REF!),"")</f>
        <v>#REF!</v>
      </c>
      <c r="T34" s="62" t="str">
        <f>IF(AND('Mapa final'!$AG$48="Media",'Mapa final'!$AI$48="Menor"),CONCATENATE("R9C",'Mapa final'!$W$48),"")</f>
        <v/>
      </c>
      <c r="U34" s="63" t="str">
        <f>IF(AND('Mapa final'!$AG$49="Media",'Mapa final'!$AI$49="Menor"),CONCATENATE("R9C",'Mapa final'!$W$49),"")</f>
        <v/>
      </c>
      <c r="V34" s="61" t="e">
        <f>IF(AND('Mapa final'!#REF!="Media",'Mapa final'!#REF!="Moderado"),CONCATENATE("R9C",'Mapa final'!#REF!),"")</f>
        <v>#REF!</v>
      </c>
      <c r="W34" s="62" t="e">
        <f>IF(AND('Mapa final'!#REF!="Media",'Mapa final'!#REF!="Moderado"),CONCATENATE("R9C",'Mapa final'!#REF!),"")</f>
        <v>#REF!</v>
      </c>
      <c r="X34" s="62" t="e">
        <f>IF(AND('Mapa final'!#REF!="Media",'Mapa final'!#REF!="Moderado"),CONCATENATE("R9C",'Mapa final'!#REF!),"")</f>
        <v>#REF!</v>
      </c>
      <c r="Y34" s="62" t="e">
        <f>IF(AND('Mapa final'!#REF!="Media",'Mapa final'!#REF!="Moderado"),CONCATENATE("R9C",'Mapa final'!#REF!),"")</f>
        <v>#REF!</v>
      </c>
      <c r="Z34" s="62" t="str">
        <f>IF(AND('Mapa final'!$AG$48="Media",'Mapa final'!$AI$48="Moderado"),CONCATENATE("R9C",'Mapa final'!$W$48),"")</f>
        <v/>
      </c>
      <c r="AA34" s="63" t="str">
        <f>IF(AND('Mapa final'!$AG$49="Media",'Mapa final'!$AI$49="Moderado"),CONCATENATE("R9C",'Mapa final'!$W$49),"")</f>
        <v/>
      </c>
      <c r="AB34" s="46" t="e">
        <f>IF(AND('Mapa final'!#REF!="Media",'Mapa final'!#REF!="Mayor"),CONCATENATE("R9C",'Mapa final'!#REF!),"")</f>
        <v>#REF!</v>
      </c>
      <c r="AC34" s="47" t="e">
        <f>IF(AND('Mapa final'!#REF!="Media",'Mapa final'!#REF!="Mayor"),CONCATENATE("R9C",'Mapa final'!#REF!),"")</f>
        <v>#REF!</v>
      </c>
      <c r="AD34" s="47" t="e">
        <f>IF(AND('Mapa final'!#REF!="Media",'Mapa final'!#REF!="Mayor"),CONCATENATE("R9C",'Mapa final'!#REF!),"")</f>
        <v>#REF!</v>
      </c>
      <c r="AE34" s="47" t="e">
        <f>IF(AND('Mapa final'!#REF!="Media",'Mapa final'!#REF!="Mayor"),CONCATENATE("R9C",'Mapa final'!#REF!),"")</f>
        <v>#REF!</v>
      </c>
      <c r="AF34" s="47" t="str">
        <f>IF(AND('Mapa final'!$AG$48="Media",'Mapa final'!$AI$48="Mayor"),CONCATENATE("R9C",'Mapa final'!$W$48),"")</f>
        <v/>
      </c>
      <c r="AG34" s="48" t="str">
        <f>IF(AND('Mapa final'!$AG$49="Media",'Mapa final'!$AI$49="Mayor"),CONCATENATE("R9C",'Mapa final'!$W$49),"")</f>
        <v/>
      </c>
      <c r="AH34" s="49" t="e">
        <f>IF(AND('Mapa final'!#REF!="Media",'Mapa final'!#REF!="Catastrófico"),CONCATENATE("R9C",'Mapa final'!#REF!),"")</f>
        <v>#REF!</v>
      </c>
      <c r="AI34" s="50" t="e">
        <f>IF(AND('Mapa final'!#REF!="Media",'Mapa final'!#REF!="Catastrófico"),CONCATENATE("R9C",'Mapa final'!#REF!),"")</f>
        <v>#REF!</v>
      </c>
      <c r="AJ34" s="50" t="e">
        <f>IF(AND('Mapa final'!#REF!="Media",'Mapa final'!#REF!="Catastrófico"),CONCATENATE("R9C",'Mapa final'!#REF!),"")</f>
        <v>#REF!</v>
      </c>
      <c r="AK34" s="50" t="e">
        <f>IF(AND('Mapa final'!#REF!="Media",'Mapa final'!#REF!="Catastrófico"),CONCATENATE("R9C",'Mapa final'!#REF!),"")</f>
        <v>#REF!</v>
      </c>
      <c r="AL34" s="50" t="str">
        <f>IF(AND('Mapa final'!$AG$48="Media",'Mapa final'!$AI$48="Catastrófico"),CONCATENATE("R9C",'Mapa final'!$W$48),"")</f>
        <v/>
      </c>
      <c r="AM34" s="51" t="str">
        <f>IF(AND('Mapa final'!$AG$49="Media",'Mapa final'!$AI$49="Catastrófico"),CONCATENATE("R9C",'Mapa final'!$W$49),"")</f>
        <v/>
      </c>
      <c r="AN34" s="77"/>
      <c r="AO34" s="812"/>
      <c r="AP34" s="813"/>
      <c r="AQ34" s="813"/>
      <c r="AR34" s="813"/>
      <c r="AS34" s="813"/>
      <c r="AT34" s="814"/>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row>
    <row r="35" spans="1:80" ht="15.75" customHeight="1" thickBot="1" x14ac:dyDescent="0.3">
      <c r="A35" s="77"/>
      <c r="B35" s="731"/>
      <c r="C35" s="731"/>
      <c r="D35" s="732"/>
      <c r="E35" s="775"/>
      <c r="F35" s="776"/>
      <c r="G35" s="776"/>
      <c r="H35" s="776"/>
      <c r="I35" s="777"/>
      <c r="J35" s="61" t="e">
        <f>IF(AND('Mapa final'!#REF!="Media",'Mapa final'!#REF!="Leve"),CONCATENATE("R10C",'Mapa final'!#REF!),"")</f>
        <v>#REF!</v>
      </c>
      <c r="K35" s="62" t="e">
        <f>IF(AND('Mapa final'!#REF!="Media",'Mapa final'!#REF!="Leve"),CONCATENATE("R10C",'Mapa final'!#REF!),"")</f>
        <v>#REF!</v>
      </c>
      <c r="L35" s="62" t="e">
        <f>IF(AND('Mapa final'!#REF!="Media",'Mapa final'!#REF!="Leve"),CONCATENATE("R10C",'Mapa final'!#REF!),"")</f>
        <v>#REF!</v>
      </c>
      <c r="M35" s="62" t="e">
        <f>IF(AND('Mapa final'!#REF!="Media",'Mapa final'!#REF!="Leve"),CONCATENATE("R10C",'Mapa final'!#REF!),"")</f>
        <v>#REF!</v>
      </c>
      <c r="N35" s="62" t="e">
        <f>IF(AND('Mapa final'!#REF!="Media",'Mapa final'!#REF!="Leve"),CONCATENATE("R10C",'Mapa final'!#REF!),"")</f>
        <v>#REF!</v>
      </c>
      <c r="O35" s="63" t="e">
        <f>IF(AND('Mapa final'!#REF!="Media",'Mapa final'!#REF!="Leve"),CONCATENATE("R10C",'Mapa final'!#REF!),"")</f>
        <v>#REF!</v>
      </c>
      <c r="P35" s="61" t="e">
        <f>IF(AND('Mapa final'!#REF!="Media",'Mapa final'!#REF!="Menor"),CONCATENATE("R10C",'Mapa final'!#REF!),"")</f>
        <v>#REF!</v>
      </c>
      <c r="Q35" s="62" t="e">
        <f>IF(AND('Mapa final'!#REF!="Media",'Mapa final'!#REF!="Menor"),CONCATENATE("R10C",'Mapa final'!#REF!),"")</f>
        <v>#REF!</v>
      </c>
      <c r="R35" s="62" t="e">
        <f>IF(AND('Mapa final'!#REF!="Media",'Mapa final'!#REF!="Menor"),CONCATENATE("R10C",'Mapa final'!#REF!),"")</f>
        <v>#REF!</v>
      </c>
      <c r="S35" s="62" t="e">
        <f>IF(AND('Mapa final'!#REF!="Media",'Mapa final'!#REF!="Menor"),CONCATENATE("R10C",'Mapa final'!#REF!),"")</f>
        <v>#REF!</v>
      </c>
      <c r="T35" s="62" t="e">
        <f>IF(AND('Mapa final'!#REF!="Media",'Mapa final'!#REF!="Menor"),CONCATENATE("R10C",'Mapa final'!#REF!),"")</f>
        <v>#REF!</v>
      </c>
      <c r="U35" s="63" t="e">
        <f>IF(AND('Mapa final'!#REF!="Media",'Mapa final'!#REF!="Menor"),CONCATENATE("R10C",'Mapa final'!#REF!),"")</f>
        <v>#REF!</v>
      </c>
      <c r="V35" s="61" t="e">
        <f>IF(AND('Mapa final'!#REF!="Media",'Mapa final'!#REF!="Moderado"),CONCATENATE("R10C",'Mapa final'!#REF!),"")</f>
        <v>#REF!</v>
      </c>
      <c r="W35" s="62" t="e">
        <f>IF(AND('Mapa final'!#REF!="Media",'Mapa final'!#REF!="Moderado"),CONCATENATE("R10C",'Mapa final'!#REF!),"")</f>
        <v>#REF!</v>
      </c>
      <c r="X35" s="62" t="e">
        <f>IF(AND('Mapa final'!#REF!="Media",'Mapa final'!#REF!="Moderado"),CONCATENATE("R10C",'Mapa final'!#REF!),"")</f>
        <v>#REF!</v>
      </c>
      <c r="Y35" s="62" t="e">
        <f>IF(AND('Mapa final'!#REF!="Media",'Mapa final'!#REF!="Moderado"),CONCATENATE("R10C",'Mapa final'!#REF!),"")</f>
        <v>#REF!</v>
      </c>
      <c r="Z35" s="62" t="e">
        <f>IF(AND('Mapa final'!#REF!="Media",'Mapa final'!#REF!="Moderado"),CONCATENATE("R10C",'Mapa final'!#REF!),"")</f>
        <v>#REF!</v>
      </c>
      <c r="AA35" s="63" t="e">
        <f>IF(AND('Mapa final'!#REF!="Media",'Mapa final'!#REF!="Moderado"),CONCATENATE("R10C",'Mapa final'!#REF!),"")</f>
        <v>#REF!</v>
      </c>
      <c r="AB35" s="52" t="e">
        <f>IF(AND('Mapa final'!#REF!="Media",'Mapa final'!#REF!="Mayor"),CONCATENATE("R10C",'Mapa final'!#REF!),"")</f>
        <v>#REF!</v>
      </c>
      <c r="AC35" s="53" t="e">
        <f>IF(AND('Mapa final'!#REF!="Media",'Mapa final'!#REF!="Mayor"),CONCATENATE("R10C",'Mapa final'!#REF!),"")</f>
        <v>#REF!</v>
      </c>
      <c r="AD35" s="53" t="e">
        <f>IF(AND('Mapa final'!#REF!="Media",'Mapa final'!#REF!="Mayor"),CONCATENATE("R10C",'Mapa final'!#REF!),"")</f>
        <v>#REF!</v>
      </c>
      <c r="AE35" s="53" t="e">
        <f>IF(AND('Mapa final'!#REF!="Media",'Mapa final'!#REF!="Mayor"),CONCATENATE("R10C",'Mapa final'!#REF!),"")</f>
        <v>#REF!</v>
      </c>
      <c r="AF35" s="53" t="e">
        <f>IF(AND('Mapa final'!#REF!="Media",'Mapa final'!#REF!="Mayor"),CONCATENATE("R10C",'Mapa final'!#REF!),"")</f>
        <v>#REF!</v>
      </c>
      <c r="AG35" s="54" t="e">
        <f>IF(AND('Mapa final'!#REF!="Media",'Mapa final'!#REF!="Mayor"),CONCATENATE("R10C",'Mapa final'!#REF!),"")</f>
        <v>#REF!</v>
      </c>
      <c r="AH35" s="55" t="e">
        <f>IF(AND('Mapa final'!#REF!="Media",'Mapa final'!#REF!="Catastrófico"),CONCATENATE("R10C",'Mapa final'!#REF!),"")</f>
        <v>#REF!</v>
      </c>
      <c r="AI35" s="56" t="e">
        <f>IF(AND('Mapa final'!#REF!="Media",'Mapa final'!#REF!="Catastrófico"),CONCATENATE("R10C",'Mapa final'!#REF!),"")</f>
        <v>#REF!</v>
      </c>
      <c r="AJ35" s="56" t="e">
        <f>IF(AND('Mapa final'!#REF!="Media",'Mapa final'!#REF!="Catastrófico"),CONCATENATE("R10C",'Mapa final'!#REF!),"")</f>
        <v>#REF!</v>
      </c>
      <c r="AK35" s="56" t="e">
        <f>IF(AND('Mapa final'!#REF!="Media",'Mapa final'!#REF!="Catastrófico"),CONCATENATE("R10C",'Mapa final'!#REF!),"")</f>
        <v>#REF!</v>
      </c>
      <c r="AL35" s="56" t="e">
        <f>IF(AND('Mapa final'!#REF!="Media",'Mapa final'!#REF!="Catastrófico"),CONCATENATE("R10C",'Mapa final'!#REF!),"")</f>
        <v>#REF!</v>
      </c>
      <c r="AM35" s="57" t="e">
        <f>IF(AND('Mapa final'!#REF!="Media",'Mapa final'!#REF!="Catastrófico"),CONCATENATE("R10C",'Mapa final'!#REF!),"")</f>
        <v>#REF!</v>
      </c>
      <c r="AN35" s="77"/>
      <c r="AO35" s="815"/>
      <c r="AP35" s="816"/>
      <c r="AQ35" s="816"/>
      <c r="AR35" s="816"/>
      <c r="AS35" s="816"/>
      <c r="AT35" s="81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row>
    <row r="36" spans="1:80" ht="15" customHeight="1" x14ac:dyDescent="0.25">
      <c r="A36" s="77"/>
      <c r="B36" s="731"/>
      <c r="C36" s="731"/>
      <c r="D36" s="732"/>
      <c r="E36" s="769" t="s">
        <v>540</v>
      </c>
      <c r="F36" s="770"/>
      <c r="G36" s="770"/>
      <c r="H36" s="770"/>
      <c r="I36" s="770"/>
      <c r="J36" s="67" t="e">
        <f>IF(AND('Mapa final'!#REF!="Baja",'Mapa final'!#REF!="Leve"),CONCATENATE("R1C",'Mapa final'!#REF!),"")</f>
        <v>#REF!</v>
      </c>
      <c r="K36" s="68" t="e">
        <f>IF(AND('Mapa final'!#REF!="Baja",'Mapa final'!#REF!="Leve"),CONCATENATE("R1C",'Mapa final'!#REF!),"")</f>
        <v>#REF!</v>
      </c>
      <c r="L36" s="68" t="e">
        <f>IF(AND('Mapa final'!#REF!="Baja",'Mapa final'!#REF!="Leve"),CONCATENATE("R1C",'Mapa final'!#REF!),"")</f>
        <v>#REF!</v>
      </c>
      <c r="M36" s="68" t="e">
        <f>IF(AND('Mapa final'!#REF!="Baja",'Mapa final'!#REF!="Leve"),CONCATENATE("R1C",'Mapa final'!#REF!),"")</f>
        <v>#REF!</v>
      </c>
      <c r="N36" s="68" t="e">
        <f>IF(AND('Mapa final'!#REF!="Baja",'Mapa final'!#REF!="Leve"),CONCATENATE("R1C",'Mapa final'!#REF!),"")</f>
        <v>#REF!</v>
      </c>
      <c r="O36" s="69" t="e">
        <f>IF(AND('Mapa final'!#REF!="Baja",'Mapa final'!#REF!="Leve"),CONCATENATE("R1C",'Mapa final'!#REF!),"")</f>
        <v>#REF!</v>
      </c>
      <c r="P36" s="58" t="e">
        <f>IF(AND('Mapa final'!#REF!="Baja",'Mapa final'!#REF!="Menor"),CONCATENATE("R1C",'Mapa final'!#REF!),"")</f>
        <v>#REF!</v>
      </c>
      <c r="Q36" s="59" t="e">
        <f>IF(AND('Mapa final'!#REF!="Baja",'Mapa final'!#REF!="Menor"),CONCATENATE("R1C",'Mapa final'!#REF!),"")</f>
        <v>#REF!</v>
      </c>
      <c r="R36" s="59" t="e">
        <f>IF(AND('Mapa final'!#REF!="Baja",'Mapa final'!#REF!="Menor"),CONCATENATE("R1C",'Mapa final'!#REF!),"")</f>
        <v>#REF!</v>
      </c>
      <c r="S36" s="59" t="e">
        <f>IF(AND('Mapa final'!#REF!="Baja",'Mapa final'!#REF!="Menor"),CONCATENATE("R1C",'Mapa final'!#REF!),"")</f>
        <v>#REF!</v>
      </c>
      <c r="T36" s="59" t="e">
        <f>IF(AND('Mapa final'!#REF!="Baja",'Mapa final'!#REF!="Menor"),CONCATENATE("R1C",'Mapa final'!#REF!),"")</f>
        <v>#REF!</v>
      </c>
      <c r="U36" s="60" t="e">
        <f>IF(AND('Mapa final'!#REF!="Baja",'Mapa final'!#REF!="Menor"),CONCATENATE("R1C",'Mapa final'!#REF!),"")</f>
        <v>#REF!</v>
      </c>
      <c r="V36" s="58" t="e">
        <f>IF(AND('Mapa final'!#REF!="Baja",'Mapa final'!#REF!="Moderado"),CONCATENATE("R1C",'Mapa final'!#REF!),"")</f>
        <v>#REF!</v>
      </c>
      <c r="W36" s="59" t="e">
        <f>IF(AND('Mapa final'!#REF!="Baja",'Mapa final'!#REF!="Moderado"),CONCATENATE("R1C",'Mapa final'!#REF!),"")</f>
        <v>#REF!</v>
      </c>
      <c r="X36" s="59" t="e">
        <f>IF(AND('Mapa final'!#REF!="Baja",'Mapa final'!#REF!="Moderado"),CONCATENATE("R1C",'Mapa final'!#REF!),"")</f>
        <v>#REF!</v>
      </c>
      <c r="Y36" s="59" t="e">
        <f>IF(AND('Mapa final'!#REF!="Baja",'Mapa final'!#REF!="Moderado"),CONCATENATE("R1C",'Mapa final'!#REF!),"")</f>
        <v>#REF!</v>
      </c>
      <c r="Z36" s="59" t="e">
        <f>IF(AND('Mapa final'!#REF!="Baja",'Mapa final'!#REF!="Moderado"),CONCATENATE("R1C",'Mapa final'!#REF!),"")</f>
        <v>#REF!</v>
      </c>
      <c r="AA36" s="60" t="e">
        <f>IF(AND('Mapa final'!#REF!="Baja",'Mapa final'!#REF!="Moderado"),CONCATENATE("R1C",'Mapa final'!#REF!),"")</f>
        <v>#REF!</v>
      </c>
      <c r="AB36" s="40" t="e">
        <f>IF(AND('Mapa final'!#REF!="Baja",'Mapa final'!#REF!="Mayor"),CONCATENATE("R1C",'Mapa final'!#REF!),"")</f>
        <v>#REF!</v>
      </c>
      <c r="AC36" s="41" t="e">
        <f>IF(AND('Mapa final'!#REF!="Baja",'Mapa final'!#REF!="Mayor"),CONCATENATE("R1C",'Mapa final'!#REF!),"")</f>
        <v>#REF!</v>
      </c>
      <c r="AD36" s="41" t="e">
        <f>IF(AND('Mapa final'!#REF!="Baja",'Mapa final'!#REF!="Mayor"),CONCATENATE("R1C",'Mapa final'!#REF!),"")</f>
        <v>#REF!</v>
      </c>
      <c r="AE36" s="41" t="e">
        <f>IF(AND('Mapa final'!#REF!="Baja",'Mapa final'!#REF!="Mayor"),CONCATENATE("R1C",'Mapa final'!#REF!),"")</f>
        <v>#REF!</v>
      </c>
      <c r="AF36" s="41" t="e">
        <f>IF(AND('Mapa final'!#REF!="Baja",'Mapa final'!#REF!="Mayor"),CONCATENATE("R1C",'Mapa final'!#REF!),"")</f>
        <v>#REF!</v>
      </c>
      <c r="AG36" s="42" t="e">
        <f>IF(AND('Mapa final'!#REF!="Baja",'Mapa final'!#REF!="Mayor"),CONCATENATE("R1C",'Mapa final'!#REF!),"")</f>
        <v>#REF!</v>
      </c>
      <c r="AH36" s="43" t="e">
        <f>IF(AND('Mapa final'!#REF!="Baja",'Mapa final'!#REF!="Catastrófico"),CONCATENATE("R1C",'Mapa final'!#REF!),"")</f>
        <v>#REF!</v>
      </c>
      <c r="AI36" s="44" t="e">
        <f>IF(AND('Mapa final'!#REF!="Baja",'Mapa final'!#REF!="Catastrófico"),CONCATENATE("R1C",'Mapa final'!#REF!),"")</f>
        <v>#REF!</v>
      </c>
      <c r="AJ36" s="44" t="e">
        <f>IF(AND('Mapa final'!#REF!="Baja",'Mapa final'!#REF!="Catastrófico"),CONCATENATE("R1C",'Mapa final'!#REF!),"")</f>
        <v>#REF!</v>
      </c>
      <c r="AK36" s="44" t="e">
        <f>IF(AND('Mapa final'!#REF!="Baja",'Mapa final'!#REF!="Catastrófico"),CONCATENATE("R1C",'Mapa final'!#REF!),"")</f>
        <v>#REF!</v>
      </c>
      <c r="AL36" s="44" t="e">
        <f>IF(AND('Mapa final'!#REF!="Baja",'Mapa final'!#REF!="Catastrófico"),CONCATENATE("R1C",'Mapa final'!#REF!),"")</f>
        <v>#REF!</v>
      </c>
      <c r="AM36" s="45" t="e">
        <f>IF(AND('Mapa final'!#REF!="Baja",'Mapa final'!#REF!="Catastrófico"),CONCATENATE("R1C",'Mapa final'!#REF!),"")</f>
        <v>#REF!</v>
      </c>
      <c r="AN36" s="77"/>
      <c r="AO36" s="800" t="s">
        <v>541</v>
      </c>
      <c r="AP36" s="801"/>
      <c r="AQ36" s="801"/>
      <c r="AR36" s="801"/>
      <c r="AS36" s="801"/>
      <c r="AT36" s="802"/>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row>
    <row r="37" spans="1:80" ht="15" customHeight="1" x14ac:dyDescent="0.25">
      <c r="A37" s="77"/>
      <c r="B37" s="731"/>
      <c r="C37" s="731"/>
      <c r="D37" s="732"/>
      <c r="E37" s="788"/>
      <c r="F37" s="773"/>
      <c r="G37" s="773"/>
      <c r="H37" s="773"/>
      <c r="I37" s="773"/>
      <c r="J37" s="70" t="e">
        <f>IF(AND('Mapa final'!#REF!="Baja",'Mapa final'!#REF!="Leve"),CONCATENATE("R2C",'Mapa final'!#REF!),"")</f>
        <v>#REF!</v>
      </c>
      <c r="K37" s="71" t="e">
        <f>IF(AND('Mapa final'!#REF!="Baja",'Mapa final'!#REF!="Leve"),CONCATENATE("R2C",'Mapa final'!#REF!),"")</f>
        <v>#REF!</v>
      </c>
      <c r="L37" s="71" t="e">
        <f>IF(AND('Mapa final'!#REF!="Baja",'Mapa final'!#REF!="Leve"),CONCATENATE("R2C",'Mapa final'!#REF!),"")</f>
        <v>#REF!</v>
      </c>
      <c r="M37" s="71" t="e">
        <f>IF(AND('Mapa final'!#REF!="Baja",'Mapa final'!#REF!="Leve"),CONCATENATE("R2C",'Mapa final'!#REF!),"")</f>
        <v>#REF!</v>
      </c>
      <c r="N37" s="71" t="e">
        <f>IF(AND('Mapa final'!#REF!="Baja",'Mapa final'!#REF!="Leve"),CONCATENATE("R2C",'Mapa final'!#REF!),"")</f>
        <v>#REF!</v>
      </c>
      <c r="O37" s="72" t="str">
        <f>IF(AND('Mapa final'!$AG$17="Baja",'Mapa final'!$AI$17="Leve"),CONCATENATE("R2C",'Mapa final'!$W$17),"")</f>
        <v/>
      </c>
      <c r="P37" s="61" t="e">
        <f>IF(AND('Mapa final'!#REF!="Baja",'Mapa final'!#REF!="Menor"),CONCATENATE("R2C",'Mapa final'!#REF!),"")</f>
        <v>#REF!</v>
      </c>
      <c r="Q37" s="62" t="e">
        <f>IF(AND('Mapa final'!#REF!="Baja",'Mapa final'!#REF!="Menor"),CONCATENATE("R2C",'Mapa final'!#REF!),"")</f>
        <v>#REF!</v>
      </c>
      <c r="R37" s="62" t="e">
        <f>IF(AND('Mapa final'!#REF!="Baja",'Mapa final'!#REF!="Menor"),CONCATENATE("R2C",'Mapa final'!#REF!),"")</f>
        <v>#REF!</v>
      </c>
      <c r="S37" s="62" t="e">
        <f>IF(AND('Mapa final'!#REF!="Baja",'Mapa final'!#REF!="Menor"),CONCATENATE("R2C",'Mapa final'!#REF!),"")</f>
        <v>#REF!</v>
      </c>
      <c r="T37" s="62" t="e">
        <f>IF(AND('Mapa final'!#REF!="Baja",'Mapa final'!#REF!="Menor"),CONCATENATE("R2C",'Mapa final'!#REF!),"")</f>
        <v>#REF!</v>
      </c>
      <c r="U37" s="63" t="str">
        <f>IF(AND('Mapa final'!$AG$17="Baja",'Mapa final'!$AI$17="Menor"),CONCATENATE("R2C",'Mapa final'!$W$17),"")</f>
        <v/>
      </c>
      <c r="V37" s="61" t="e">
        <f>IF(AND('Mapa final'!#REF!="Baja",'Mapa final'!#REF!="Moderado"),CONCATENATE("R2C",'Mapa final'!#REF!),"")</f>
        <v>#REF!</v>
      </c>
      <c r="W37" s="62" t="e">
        <f>IF(AND('Mapa final'!#REF!="Baja",'Mapa final'!#REF!="Moderado"),CONCATENATE("R2C",'Mapa final'!#REF!),"")</f>
        <v>#REF!</v>
      </c>
      <c r="X37" s="62" t="e">
        <f>IF(AND('Mapa final'!#REF!="Baja",'Mapa final'!#REF!="Moderado"),CONCATENATE("R2C",'Mapa final'!#REF!),"")</f>
        <v>#REF!</v>
      </c>
      <c r="Y37" s="62" t="e">
        <f>IF(AND('Mapa final'!#REF!="Baja",'Mapa final'!#REF!="Moderado"),CONCATENATE("R2C",'Mapa final'!#REF!),"")</f>
        <v>#REF!</v>
      </c>
      <c r="Z37" s="62" t="e">
        <f>IF(AND('Mapa final'!#REF!="Baja",'Mapa final'!#REF!="Moderado"),CONCATENATE("R2C",'Mapa final'!#REF!),"")</f>
        <v>#REF!</v>
      </c>
      <c r="AA37" s="63" t="str">
        <f>IF(AND('Mapa final'!$AG$17="Baja",'Mapa final'!$AI$17="Moderado"),CONCATENATE("R2C",'Mapa final'!$W$17),"")</f>
        <v/>
      </c>
      <c r="AB37" s="46" t="e">
        <f>IF(AND('Mapa final'!#REF!="Baja",'Mapa final'!#REF!="Mayor"),CONCATENATE("R2C",'Mapa final'!#REF!),"")</f>
        <v>#REF!</v>
      </c>
      <c r="AC37" s="47" t="e">
        <f>IF(AND('Mapa final'!#REF!="Baja",'Mapa final'!#REF!="Mayor"),CONCATENATE("R2C",'Mapa final'!#REF!),"")</f>
        <v>#REF!</v>
      </c>
      <c r="AD37" s="47" t="e">
        <f>IF(AND('Mapa final'!#REF!="Baja",'Mapa final'!#REF!="Mayor"),CONCATENATE("R2C",'Mapa final'!#REF!),"")</f>
        <v>#REF!</v>
      </c>
      <c r="AE37" s="47" t="e">
        <f>IF(AND('Mapa final'!#REF!="Baja",'Mapa final'!#REF!="Mayor"),CONCATENATE("R2C",'Mapa final'!#REF!),"")</f>
        <v>#REF!</v>
      </c>
      <c r="AF37" s="47" t="e">
        <f>IF(AND('Mapa final'!#REF!="Baja",'Mapa final'!#REF!="Mayor"),CONCATENATE("R2C",'Mapa final'!#REF!),"")</f>
        <v>#REF!</v>
      </c>
      <c r="AG37" s="48" t="str">
        <f>IF(AND('Mapa final'!$AG$17="Baja",'Mapa final'!$AI$17="Mayor"),CONCATENATE("R2C",'Mapa final'!$W$17),"")</f>
        <v/>
      </c>
      <c r="AH37" s="49" t="e">
        <f>IF(AND('Mapa final'!#REF!="Baja",'Mapa final'!#REF!="Catastrófico"),CONCATENATE("R2C",'Mapa final'!#REF!),"")</f>
        <v>#REF!</v>
      </c>
      <c r="AI37" s="50" t="e">
        <f>IF(AND('Mapa final'!#REF!="Baja",'Mapa final'!#REF!="Catastrófico"),CONCATENATE("R2C",'Mapa final'!#REF!),"")</f>
        <v>#REF!</v>
      </c>
      <c r="AJ37" s="50" t="e">
        <f>IF(AND('Mapa final'!#REF!="Baja",'Mapa final'!#REF!="Catastrófico"),CONCATENATE("R2C",'Mapa final'!#REF!),"")</f>
        <v>#REF!</v>
      </c>
      <c r="AK37" s="50" t="e">
        <f>IF(AND('Mapa final'!#REF!="Baja",'Mapa final'!#REF!="Catastrófico"),CONCATENATE("R2C",'Mapa final'!#REF!),"")</f>
        <v>#REF!</v>
      </c>
      <c r="AL37" s="50" t="e">
        <f>IF(AND('Mapa final'!#REF!="Baja",'Mapa final'!#REF!="Catastrófico"),CONCATENATE("R2C",'Mapa final'!#REF!),"")</f>
        <v>#REF!</v>
      </c>
      <c r="AM37" s="51" t="str">
        <f>IF(AND('Mapa final'!$AG$17="Baja",'Mapa final'!$AI$17="Catastrófico"),CONCATENATE("R2C",'Mapa final'!$W$17),"")</f>
        <v>R2CC1</v>
      </c>
      <c r="AN37" s="77"/>
      <c r="AO37" s="803"/>
      <c r="AP37" s="804"/>
      <c r="AQ37" s="804"/>
      <c r="AR37" s="804"/>
      <c r="AS37" s="804"/>
      <c r="AT37" s="805"/>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row>
    <row r="38" spans="1:80" ht="15" customHeight="1" x14ac:dyDescent="0.25">
      <c r="A38" s="77"/>
      <c r="B38" s="731"/>
      <c r="C38" s="731"/>
      <c r="D38" s="732"/>
      <c r="E38" s="772"/>
      <c r="F38" s="773"/>
      <c r="G38" s="773"/>
      <c r="H38" s="773"/>
      <c r="I38" s="773"/>
      <c r="J38" s="70" t="str">
        <f>IF(AND('Mapa final'!$AG$18="Baja",'Mapa final'!$AI$18="Leve"),CONCATENATE("R3C",'Mapa final'!$W$18),"")</f>
        <v/>
      </c>
      <c r="K38" s="71" t="str">
        <f>IF(AND('Mapa final'!$AG$19="Baja",'Mapa final'!$AI$19="Leve"),CONCATENATE("R3C",'Mapa final'!$W$19),"")</f>
        <v/>
      </c>
      <c r="L38" s="71" t="str">
        <f>IF(AND('Mapa final'!$AG$20="Baja",'Mapa final'!$AI$20="Leve"),CONCATENATE("R3C",'Mapa final'!$W$20),"")</f>
        <v/>
      </c>
      <c r="M38" s="71" t="str">
        <f>IF(AND('Mapa final'!$AG$21="Baja",'Mapa final'!$AI$21="Leve"),CONCATENATE("R3C",'Mapa final'!$W$21),"")</f>
        <v/>
      </c>
      <c r="N38" s="71" t="e">
        <f>IF(AND('Mapa final'!#REF!="Baja",'Mapa final'!#REF!="Leve"),CONCATENATE("R3C",'Mapa final'!#REF!),"")</f>
        <v>#REF!</v>
      </c>
      <c r="O38" s="72" t="e">
        <f>IF(AND('Mapa final'!#REF!="Baja",'Mapa final'!#REF!="Leve"),CONCATENATE("R3C",'Mapa final'!#REF!),"")</f>
        <v>#REF!</v>
      </c>
      <c r="P38" s="61" t="str">
        <f>IF(AND('Mapa final'!$AG$18="Baja",'Mapa final'!$AI$18="Menor"),CONCATENATE("R3C",'Mapa final'!$W$18),"")</f>
        <v/>
      </c>
      <c r="Q38" s="62" t="str">
        <f>IF(AND('Mapa final'!$AG$19="Baja",'Mapa final'!$AI$19="Menor"),CONCATENATE("R3C",'Mapa final'!$W$19),"")</f>
        <v/>
      </c>
      <c r="R38" s="62" t="str">
        <f>IF(AND('Mapa final'!$AG$20="Baja",'Mapa final'!$AI$20="Menor"),CONCATENATE("R3C",'Mapa final'!$W$20),"")</f>
        <v/>
      </c>
      <c r="S38" s="62" t="str">
        <f>IF(AND('Mapa final'!$AG$21="Baja",'Mapa final'!$AI$21="Menor"),CONCATENATE("R3C",'Mapa final'!$W$21),"")</f>
        <v/>
      </c>
      <c r="T38" s="62" t="e">
        <f>IF(AND('Mapa final'!#REF!="Baja",'Mapa final'!#REF!="Menor"),CONCATENATE("R3C",'Mapa final'!#REF!),"")</f>
        <v>#REF!</v>
      </c>
      <c r="U38" s="63" t="e">
        <f>IF(AND('Mapa final'!#REF!="Baja",'Mapa final'!#REF!="Menor"),CONCATENATE("R3C",'Mapa final'!#REF!),"")</f>
        <v>#REF!</v>
      </c>
      <c r="V38" s="61" t="str">
        <f>IF(AND('Mapa final'!$AG$18="Baja",'Mapa final'!$AI$18="Moderado"),CONCATENATE("R3C",'Mapa final'!$W$18),"")</f>
        <v>R3CC2</v>
      </c>
      <c r="W38" s="62" t="str">
        <f>IF(AND('Mapa final'!$AG$19="Baja",'Mapa final'!$AI$19="Moderado"),CONCATENATE("R3C",'Mapa final'!$W$19),"")</f>
        <v/>
      </c>
      <c r="X38" s="62" t="str">
        <f>IF(AND('Mapa final'!$AG$20="Baja",'Mapa final'!$AI$20="Moderado"),CONCATENATE("R3C",'Mapa final'!$W$20),"")</f>
        <v/>
      </c>
      <c r="Y38" s="62" t="str">
        <f>IF(AND('Mapa final'!$AG$21="Baja",'Mapa final'!$AI$21="Moderado"),CONCATENATE("R3C",'Mapa final'!$W$21),"")</f>
        <v/>
      </c>
      <c r="Z38" s="62" t="e">
        <f>IF(AND('Mapa final'!#REF!="Baja",'Mapa final'!#REF!="Moderado"),CONCATENATE("R3C",'Mapa final'!#REF!),"")</f>
        <v>#REF!</v>
      </c>
      <c r="AA38" s="63" t="e">
        <f>IF(AND('Mapa final'!#REF!="Baja",'Mapa final'!#REF!="Moderado"),CONCATENATE("R3C",'Mapa final'!#REF!),"")</f>
        <v>#REF!</v>
      </c>
      <c r="AB38" s="46" t="str">
        <f>IF(AND('Mapa final'!$AG$18="Baja",'Mapa final'!$AI$18="Mayor"),CONCATENATE("R3C",'Mapa final'!$W$18),"")</f>
        <v/>
      </c>
      <c r="AC38" s="47" t="str">
        <f>IF(AND('Mapa final'!$AG$19="Baja",'Mapa final'!$AI$19="Mayor"),CONCATENATE("R3C",'Mapa final'!$W$19),"")</f>
        <v/>
      </c>
      <c r="AD38" s="47" t="str">
        <f>IF(AND('Mapa final'!$AG$20="Baja",'Mapa final'!$AI$20="Mayor"),CONCATENATE("R3C",'Mapa final'!$W$20),"")</f>
        <v/>
      </c>
      <c r="AE38" s="47" t="str">
        <f>IF(AND('Mapa final'!$AG$21="Baja",'Mapa final'!$AI$21="Mayor"),CONCATENATE("R3C",'Mapa final'!$W$21),"")</f>
        <v/>
      </c>
      <c r="AF38" s="47" t="e">
        <f>IF(AND('Mapa final'!#REF!="Baja",'Mapa final'!#REF!="Mayor"),CONCATENATE("R3C",'Mapa final'!#REF!),"")</f>
        <v>#REF!</v>
      </c>
      <c r="AG38" s="48" t="e">
        <f>IF(AND('Mapa final'!#REF!="Baja",'Mapa final'!#REF!="Mayor"),CONCATENATE("R3C",'Mapa final'!#REF!),"")</f>
        <v>#REF!</v>
      </c>
      <c r="AH38" s="49" t="str">
        <f>IF(AND('Mapa final'!$AG$18="Baja",'Mapa final'!$AI$18="Catastrófico"),CONCATENATE("R3C",'Mapa final'!$W$18),"")</f>
        <v/>
      </c>
      <c r="AI38" s="50" t="str">
        <f>IF(AND('Mapa final'!$AG$19="Baja",'Mapa final'!$AI$19="Catastrófico"),CONCATENATE("R3C",'Mapa final'!$W$19),"")</f>
        <v/>
      </c>
      <c r="AJ38" s="50" t="str">
        <f>IF(AND('Mapa final'!$AG$20="Baja",'Mapa final'!$AI$20="Catastrófico"),CONCATENATE("R3C",'Mapa final'!$W$20),"")</f>
        <v/>
      </c>
      <c r="AK38" s="50" t="str">
        <f>IF(AND('Mapa final'!$AG$21="Baja",'Mapa final'!$AI$21="Catastrófico"),CONCATENATE("R3C",'Mapa final'!$W$21),"")</f>
        <v/>
      </c>
      <c r="AL38" s="50" t="e">
        <f>IF(AND('Mapa final'!#REF!="Baja",'Mapa final'!#REF!="Catastrófico"),CONCATENATE("R3C",'Mapa final'!#REF!),"")</f>
        <v>#REF!</v>
      </c>
      <c r="AM38" s="51" t="e">
        <f>IF(AND('Mapa final'!#REF!="Baja",'Mapa final'!#REF!="Catastrófico"),CONCATENATE("R3C",'Mapa final'!#REF!),"")</f>
        <v>#REF!</v>
      </c>
      <c r="AN38" s="77"/>
      <c r="AO38" s="803"/>
      <c r="AP38" s="804"/>
      <c r="AQ38" s="804"/>
      <c r="AR38" s="804"/>
      <c r="AS38" s="804"/>
      <c r="AT38" s="805"/>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row>
    <row r="39" spans="1:80" ht="15" customHeight="1" x14ac:dyDescent="0.25">
      <c r="A39" s="77"/>
      <c r="B39" s="731"/>
      <c r="C39" s="731"/>
      <c r="D39" s="732"/>
      <c r="E39" s="772"/>
      <c r="F39" s="773"/>
      <c r="G39" s="773"/>
      <c r="H39" s="773"/>
      <c r="I39" s="773"/>
      <c r="J39" s="70" t="e">
        <f>IF(AND('Mapa final'!#REF!="Baja",'Mapa final'!#REF!="Leve"),CONCATENATE("R4C",'Mapa final'!#REF!),"")</f>
        <v>#REF!</v>
      </c>
      <c r="K39" s="71" t="str">
        <f>IF(AND('Mapa final'!$AG$22="Baja",'Mapa final'!$AI$22="Leve"),CONCATENATE("R4C",'Mapa final'!$W$22),"")</f>
        <v/>
      </c>
      <c r="L39" s="71" t="str">
        <f>IF(AND('Mapa final'!$AG$23="Baja",'Mapa final'!$AI$23="Leve"),CONCATENATE("R4C",'Mapa final'!$W$23),"")</f>
        <v/>
      </c>
      <c r="M39" s="71" t="str">
        <f>IF(AND('Mapa final'!$AG$24="Baja",'Mapa final'!$AI$24="Leve"),CONCATENATE("R4C",'Mapa final'!$W$24),"")</f>
        <v/>
      </c>
      <c r="N39" s="71" t="e">
        <f>IF(AND('Mapa final'!#REF!="Baja",'Mapa final'!#REF!="Leve"),CONCATENATE("R4C",'Mapa final'!#REF!),"")</f>
        <v>#REF!</v>
      </c>
      <c r="O39" s="72" t="str">
        <f>IF(AND('Mapa final'!$AG$25="Baja",'Mapa final'!$AI$25="Leve"),CONCATENATE("R4C",'Mapa final'!$W$25),"")</f>
        <v/>
      </c>
      <c r="P39" s="61" t="e">
        <f>IF(AND('Mapa final'!#REF!="Baja",'Mapa final'!#REF!="Menor"),CONCATENATE("R4C",'Mapa final'!#REF!),"")</f>
        <v>#REF!</v>
      </c>
      <c r="Q39" s="62" t="str">
        <f>IF(AND('Mapa final'!$AG$22="Baja",'Mapa final'!$AI$22="Menor"),CONCATENATE("R4C",'Mapa final'!$W$22),"")</f>
        <v/>
      </c>
      <c r="R39" s="62" t="str">
        <f>IF(AND('Mapa final'!$AG$23="Baja",'Mapa final'!$AI$23="Menor"),CONCATENATE("R4C",'Mapa final'!$W$23),"")</f>
        <v/>
      </c>
      <c r="S39" s="62" t="str">
        <f>IF(AND('Mapa final'!$AG$24="Baja",'Mapa final'!$AI$24="Menor"),CONCATENATE("R4C",'Mapa final'!$W$24),"")</f>
        <v/>
      </c>
      <c r="T39" s="62" t="e">
        <f>IF(AND('Mapa final'!#REF!="Baja",'Mapa final'!#REF!="Menor"),CONCATENATE("R4C",'Mapa final'!#REF!),"")</f>
        <v>#REF!</v>
      </c>
      <c r="U39" s="63" t="str">
        <f>IF(AND('Mapa final'!$AG$25="Baja",'Mapa final'!$AI$25="Menor"),CONCATENATE("R4C",'Mapa final'!$W$25),"")</f>
        <v/>
      </c>
      <c r="V39" s="61" t="e">
        <f>IF(AND('Mapa final'!#REF!="Baja",'Mapa final'!#REF!="Moderado"),CONCATENATE("R4C",'Mapa final'!#REF!),"")</f>
        <v>#REF!</v>
      </c>
      <c r="W39" s="62" t="str">
        <f>IF(AND('Mapa final'!$AG$22="Baja",'Mapa final'!$AI$22="Moderado"),CONCATENATE("R4C",'Mapa final'!$W$22),"")</f>
        <v>R4CC1</v>
      </c>
      <c r="X39" s="62" t="str">
        <f>IF(AND('Mapa final'!$AG$23="Baja",'Mapa final'!$AI$23="Moderado"),CONCATENATE("R4C",'Mapa final'!$W$23),"")</f>
        <v/>
      </c>
      <c r="Y39" s="62" t="str">
        <f>IF(AND('Mapa final'!$AG$24="Baja",'Mapa final'!$AI$24="Moderado"),CONCATENATE("R4C",'Mapa final'!$W$24),"")</f>
        <v>R4CC6</v>
      </c>
      <c r="Z39" s="62" t="e">
        <f>IF(AND('Mapa final'!#REF!="Baja",'Mapa final'!#REF!="Moderado"),CONCATENATE("R4C",'Mapa final'!#REF!),"")</f>
        <v>#REF!</v>
      </c>
      <c r="AA39" s="63" t="str">
        <f>IF(AND('Mapa final'!$AG$25="Baja",'Mapa final'!$AI$25="Moderado"),CONCATENATE("R4C",'Mapa final'!$W$25),"")</f>
        <v>R4C</v>
      </c>
      <c r="AB39" s="46" t="e">
        <f>IF(AND('Mapa final'!#REF!="Baja",'Mapa final'!#REF!="Mayor"),CONCATENATE("R4C",'Mapa final'!#REF!),"")</f>
        <v>#REF!</v>
      </c>
      <c r="AC39" s="47" t="str">
        <f>IF(AND('Mapa final'!$AG$22="Baja",'Mapa final'!$AI$22="Mayor"),CONCATENATE("R4C",'Mapa final'!$W$22),"")</f>
        <v/>
      </c>
      <c r="AD39" s="47" t="str">
        <f>IF(AND('Mapa final'!$AG$23="Baja",'Mapa final'!$AI$23="Mayor"),CONCATENATE("R4C",'Mapa final'!$W$23),"")</f>
        <v/>
      </c>
      <c r="AE39" s="47" t="str">
        <f>IF(AND('Mapa final'!$AG$24="Baja",'Mapa final'!$AI$24="Mayor"),CONCATENATE("R4C",'Mapa final'!$W$24),"")</f>
        <v/>
      </c>
      <c r="AF39" s="47" t="e">
        <f>IF(AND('Mapa final'!#REF!="Baja",'Mapa final'!#REF!="Mayor"),CONCATENATE("R4C",'Mapa final'!#REF!),"")</f>
        <v>#REF!</v>
      </c>
      <c r="AG39" s="48" t="str">
        <f>IF(AND('Mapa final'!$AG$25="Baja",'Mapa final'!$AI$25="Mayor"),CONCATENATE("R4C",'Mapa final'!$W$25),"")</f>
        <v/>
      </c>
      <c r="AH39" s="49" t="e">
        <f>IF(AND('Mapa final'!#REF!="Baja",'Mapa final'!#REF!="Catastrófico"),CONCATENATE("R4C",'Mapa final'!#REF!),"")</f>
        <v>#REF!</v>
      </c>
      <c r="AI39" s="50" t="str">
        <f>IF(AND('Mapa final'!$AG$22="Baja",'Mapa final'!$AI$22="Catastrófico"),CONCATENATE("R4C",'Mapa final'!$W$22),"")</f>
        <v/>
      </c>
      <c r="AJ39" s="50" t="str">
        <f>IF(AND('Mapa final'!$AG$23="Baja",'Mapa final'!$AI$23="Catastrófico"),CONCATENATE("R4C",'Mapa final'!$W$23),"")</f>
        <v>R4CC3</v>
      </c>
      <c r="AK39" s="50" t="str">
        <f>IF(AND('Mapa final'!$AG$24="Baja",'Mapa final'!$AI$24="Catastrófico"),CONCATENATE("R4C",'Mapa final'!$W$24),"")</f>
        <v/>
      </c>
      <c r="AL39" s="50" t="e">
        <f>IF(AND('Mapa final'!#REF!="Baja",'Mapa final'!#REF!="Catastrófico"),CONCATENATE("R4C",'Mapa final'!#REF!),"")</f>
        <v>#REF!</v>
      </c>
      <c r="AM39" s="51" t="str">
        <f>IF(AND('Mapa final'!$AG$25="Baja",'Mapa final'!$AI$25="Catastrófico"),CONCATENATE("R4C",'Mapa final'!$W$25),"")</f>
        <v/>
      </c>
      <c r="AN39" s="77"/>
      <c r="AO39" s="803"/>
      <c r="AP39" s="804"/>
      <c r="AQ39" s="804"/>
      <c r="AR39" s="804"/>
      <c r="AS39" s="804"/>
      <c r="AT39" s="805"/>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row>
    <row r="40" spans="1:80" ht="15" customHeight="1" x14ac:dyDescent="0.25">
      <c r="A40" s="77"/>
      <c r="B40" s="731"/>
      <c r="C40" s="731"/>
      <c r="D40" s="732"/>
      <c r="E40" s="772"/>
      <c r="F40" s="773"/>
      <c r="G40" s="773"/>
      <c r="H40" s="773"/>
      <c r="I40" s="773"/>
      <c r="J40" s="70" t="e">
        <f>IF(AND('Mapa final'!#REF!="Baja",'Mapa final'!#REF!="Leve"),CONCATENATE("R5C",'Mapa final'!#REF!),"")</f>
        <v>#REF!</v>
      </c>
      <c r="K40" s="71" t="str">
        <f>IF(AND('Mapa final'!$AG$26="Baja",'Mapa final'!$AI$26="Leve"),CONCATENATE("R5C",'Mapa final'!$W$26),"")</f>
        <v/>
      </c>
      <c r="L40" s="71" t="str">
        <f>IF(AND('Mapa final'!$AG$27="Baja",'Mapa final'!$AI$27="Leve"),CONCATENATE("R5C",'Mapa final'!$W$27),"")</f>
        <v/>
      </c>
      <c r="M40" s="71" t="str">
        <f>IF(AND('Mapa final'!$AG$28="Baja",'Mapa final'!$AI$28="Leve"),CONCATENATE("R5C",'Mapa final'!$W$28),"")</f>
        <v>R5CC7</v>
      </c>
      <c r="N40" s="71" t="str">
        <f>IF(AND('Mapa final'!$AG$29="Baja",'Mapa final'!$AI$29="Leve"),CONCATENATE("R5C",'Mapa final'!$W$29),"")</f>
        <v/>
      </c>
      <c r="O40" s="72" t="str">
        <f>IF(AND('Mapa final'!$AG$30="Baja",'Mapa final'!$AI$30="Leve"),CONCATENATE("R5C",'Mapa final'!$W$30),"")</f>
        <v/>
      </c>
      <c r="P40" s="61" t="e">
        <f>IF(AND('Mapa final'!#REF!="Baja",'Mapa final'!#REF!="Menor"),CONCATENATE("R5C",'Mapa final'!#REF!),"")</f>
        <v>#REF!</v>
      </c>
      <c r="Q40" s="62" t="str">
        <f>IF(AND('Mapa final'!$AG$26="Baja",'Mapa final'!$AI$26="Menor"),CONCATENATE("R5C",'Mapa final'!$W$26),"")</f>
        <v/>
      </c>
      <c r="R40" s="62" t="str">
        <f>IF(AND('Mapa final'!$AG$27="Baja",'Mapa final'!$AI$27="Menor"),CONCATENATE("R5C",'Mapa final'!$W$27),"")</f>
        <v/>
      </c>
      <c r="S40" s="62" t="str">
        <f>IF(AND('Mapa final'!$AG$28="Baja",'Mapa final'!$AI$28="Menor"),CONCATENATE("R5C",'Mapa final'!$W$28),"")</f>
        <v/>
      </c>
      <c r="T40" s="62" t="str">
        <f>IF(AND('Mapa final'!$AG$29="Baja",'Mapa final'!$AI$29="Menor"),CONCATENATE("R5C",'Mapa final'!$W$29),"")</f>
        <v/>
      </c>
      <c r="U40" s="63" t="str">
        <f>IF(AND('Mapa final'!$AG$30="Baja",'Mapa final'!$AI$30="Menor"),CONCATENATE("R5C",'Mapa final'!$W$30),"")</f>
        <v/>
      </c>
      <c r="V40" s="61" t="e">
        <f>IF(AND('Mapa final'!#REF!="Baja",'Mapa final'!#REF!="Moderado"),CONCATENATE("R5C",'Mapa final'!#REF!),"")</f>
        <v>#REF!</v>
      </c>
      <c r="W40" s="62" t="str">
        <f>IF(AND('Mapa final'!$AG$26="Baja",'Mapa final'!$AI$26="Moderado"),CONCATENATE("R5C",'Mapa final'!$W$26),"")</f>
        <v/>
      </c>
      <c r="X40" s="62" t="str">
        <f>IF(AND('Mapa final'!$AG$27="Baja",'Mapa final'!$AI$27="Moderado"),CONCATENATE("R5C",'Mapa final'!$W$27),"")</f>
        <v/>
      </c>
      <c r="Y40" s="62" t="str">
        <f>IF(AND('Mapa final'!$AG$28="Baja",'Mapa final'!$AI$28="Moderado"),CONCATENATE("R5C",'Mapa final'!$W$28),"")</f>
        <v/>
      </c>
      <c r="Z40" s="62" t="str">
        <f>IF(AND('Mapa final'!$AG$29="Baja",'Mapa final'!$AI$29="Moderado"),CONCATENATE("R5C",'Mapa final'!$W$29),"")</f>
        <v>R5CC1</v>
      </c>
      <c r="AA40" s="63" t="str">
        <f>IF(AND('Mapa final'!$AG$30="Baja",'Mapa final'!$AI$30="Moderado"),CONCATENATE("R5C",'Mapa final'!$W$30),"")</f>
        <v>R5CC3</v>
      </c>
      <c r="AB40" s="46" t="e">
        <f>IF(AND('Mapa final'!#REF!="Baja",'Mapa final'!#REF!="Mayor"),CONCATENATE("R5C",'Mapa final'!#REF!),"")</f>
        <v>#REF!</v>
      </c>
      <c r="AC40" s="47" t="str">
        <f>IF(AND('Mapa final'!$AG$26="Baja",'Mapa final'!$AI$26="Mayor"),CONCATENATE("R5C",'Mapa final'!$W$26),"")</f>
        <v/>
      </c>
      <c r="AD40" s="47" t="str">
        <f>IF(AND('Mapa final'!$AG$27="Baja",'Mapa final'!$AI$27="Mayor"),CONCATENATE("R5C",'Mapa final'!$W$27),"")</f>
        <v/>
      </c>
      <c r="AE40" s="47" t="str">
        <f>IF(AND('Mapa final'!$AG$28="Baja",'Mapa final'!$AI$28="Mayor"),CONCATENATE("R5C",'Mapa final'!$W$28),"")</f>
        <v/>
      </c>
      <c r="AF40" s="47" t="str">
        <f>IF(AND('Mapa final'!$AG$29="Baja",'Mapa final'!$AI$29="Mayor"),CONCATENATE("R5C",'Mapa final'!$W$29),"")</f>
        <v/>
      </c>
      <c r="AG40" s="48" t="str">
        <f>IF(AND('Mapa final'!$AG$30="Baja",'Mapa final'!$AI$30="Mayor"),CONCATENATE("R5C",'Mapa final'!$W$30),"")</f>
        <v/>
      </c>
      <c r="AH40" s="49" t="e">
        <f>IF(AND('Mapa final'!#REF!="Baja",'Mapa final'!#REF!="Catastrófico"),CONCATENATE("R5C",'Mapa final'!#REF!),"")</f>
        <v>#REF!</v>
      </c>
      <c r="AI40" s="50" t="str">
        <f>IF(AND('Mapa final'!$AG$26="Baja",'Mapa final'!$AI$26="Catastrófico"),CONCATENATE("R5C",'Mapa final'!$W$26),"")</f>
        <v/>
      </c>
      <c r="AJ40" s="50" t="str">
        <f>IF(AND('Mapa final'!$AG$27="Baja",'Mapa final'!$AI$27="Catastrófico"),CONCATENATE("R5C",'Mapa final'!$W$27),"")</f>
        <v/>
      </c>
      <c r="AK40" s="50" t="str">
        <f>IF(AND('Mapa final'!$AG$28="Baja",'Mapa final'!$AI$28="Catastrófico"),CONCATENATE("R5C",'Mapa final'!$W$28),"")</f>
        <v/>
      </c>
      <c r="AL40" s="50" t="str">
        <f>IF(AND('Mapa final'!$AG$29="Baja",'Mapa final'!$AI$29="Catastrófico"),CONCATENATE("R5C",'Mapa final'!$W$29),"")</f>
        <v/>
      </c>
      <c r="AM40" s="51" t="str">
        <f>IF(AND('Mapa final'!$AG$30="Baja",'Mapa final'!$AI$30="Catastrófico"),CONCATENATE("R5C",'Mapa final'!$W$30),"")</f>
        <v/>
      </c>
      <c r="AN40" s="77"/>
      <c r="AO40" s="803"/>
      <c r="AP40" s="804"/>
      <c r="AQ40" s="804"/>
      <c r="AR40" s="804"/>
      <c r="AS40" s="804"/>
      <c r="AT40" s="805"/>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row>
    <row r="41" spans="1:80" ht="15" customHeight="1" x14ac:dyDescent="0.25">
      <c r="A41" s="77"/>
      <c r="B41" s="731"/>
      <c r="C41" s="731"/>
      <c r="D41" s="732"/>
      <c r="E41" s="772"/>
      <c r="F41" s="773"/>
      <c r="G41" s="773"/>
      <c r="H41" s="773"/>
      <c r="I41" s="773"/>
      <c r="J41" s="70" t="str">
        <f>IF(AND('Mapa final'!$AG$31="Baja",'Mapa final'!$AI$31="Leve"),CONCATENATE("R6C",'Mapa final'!$W$31),"")</f>
        <v/>
      </c>
      <c r="K41" s="71" t="str">
        <f>IF(AND('Mapa final'!$AG$32="Baja",'Mapa final'!$AI$32="Leve"),CONCATENATE("R6C",'Mapa final'!$W$32),"")</f>
        <v/>
      </c>
      <c r="L41" s="71" t="str">
        <f>IF(AND('Mapa final'!$AG$33="Baja",'Mapa final'!$AI$33="Leve"),CONCATENATE("R6C",'Mapa final'!$W$33),"")</f>
        <v/>
      </c>
      <c r="M41" s="71" t="e">
        <f>IF(AND('Mapa final'!#REF!="Baja",'Mapa final'!#REF!="Leve"),CONCATENATE("R6C",'Mapa final'!#REF!),"")</f>
        <v>#REF!</v>
      </c>
      <c r="N41" s="71" t="e">
        <f>IF(AND('Mapa final'!#REF!="Baja",'Mapa final'!#REF!="Leve"),CONCATENATE("R6C",'Mapa final'!#REF!),"")</f>
        <v>#REF!</v>
      </c>
      <c r="O41" s="72" t="e">
        <f>IF(AND('Mapa final'!#REF!="Baja",'Mapa final'!#REF!="Leve"),CONCATENATE("R6C",'Mapa final'!#REF!),"")</f>
        <v>#REF!</v>
      </c>
      <c r="P41" s="61" t="str">
        <f>IF(AND('Mapa final'!$AG$31="Baja",'Mapa final'!$AI$31="Menor"),CONCATENATE("R6C",'Mapa final'!$W$31),"")</f>
        <v/>
      </c>
      <c r="Q41" s="62" t="str">
        <f>IF(AND('Mapa final'!$AG$32="Baja",'Mapa final'!$AI$32="Menor"),CONCATENATE("R6C",'Mapa final'!$W$32),"")</f>
        <v/>
      </c>
      <c r="R41" s="62" t="str">
        <f>IF(AND('Mapa final'!$AG$33="Baja",'Mapa final'!$AI$33="Menor"),CONCATENATE("R6C",'Mapa final'!$W$33),"")</f>
        <v/>
      </c>
      <c r="S41" s="62" t="e">
        <f>IF(AND('Mapa final'!#REF!="Baja",'Mapa final'!#REF!="Menor"),CONCATENATE("R6C",'Mapa final'!#REF!),"")</f>
        <v>#REF!</v>
      </c>
      <c r="T41" s="62" t="e">
        <f>IF(AND('Mapa final'!#REF!="Baja",'Mapa final'!#REF!="Menor"),CONCATENATE("R6C",'Mapa final'!#REF!),"")</f>
        <v>#REF!</v>
      </c>
      <c r="U41" s="63" t="e">
        <f>IF(AND('Mapa final'!#REF!="Baja",'Mapa final'!#REF!="Menor"),CONCATENATE("R6C",'Mapa final'!#REF!),"")</f>
        <v>#REF!</v>
      </c>
      <c r="V41" s="61" t="str">
        <f>IF(AND('Mapa final'!$AG$31="Baja",'Mapa final'!$AI$31="Moderado"),CONCATENATE("R6C",'Mapa final'!$W$31),"")</f>
        <v/>
      </c>
      <c r="W41" s="62" t="str">
        <f>IF(AND('Mapa final'!$AG$32="Baja",'Mapa final'!$AI$32="Moderado"),CONCATENATE("R6C",'Mapa final'!$W$32),"")</f>
        <v/>
      </c>
      <c r="X41" s="62" t="str">
        <f>IF(AND('Mapa final'!$AG$33="Baja",'Mapa final'!$AI$33="Moderado"),CONCATENATE("R6C",'Mapa final'!$W$33),"")</f>
        <v/>
      </c>
      <c r="Y41" s="62" t="e">
        <f>IF(AND('Mapa final'!#REF!="Baja",'Mapa final'!#REF!="Moderado"),CONCATENATE("R6C",'Mapa final'!#REF!),"")</f>
        <v>#REF!</v>
      </c>
      <c r="Z41" s="62" t="e">
        <f>IF(AND('Mapa final'!#REF!="Baja",'Mapa final'!#REF!="Moderado"),CONCATENATE("R6C",'Mapa final'!#REF!),"")</f>
        <v>#REF!</v>
      </c>
      <c r="AA41" s="63" t="e">
        <f>IF(AND('Mapa final'!#REF!="Baja",'Mapa final'!#REF!="Moderado"),CONCATENATE("R6C",'Mapa final'!#REF!),"")</f>
        <v>#REF!</v>
      </c>
      <c r="AB41" s="46" t="str">
        <f>IF(AND('Mapa final'!$AG$31="Baja",'Mapa final'!$AI$31="Mayor"),CONCATENATE("R6C",'Mapa final'!$W$31),"")</f>
        <v/>
      </c>
      <c r="AC41" s="47" t="str">
        <f>IF(AND('Mapa final'!$AG$32="Baja",'Mapa final'!$AI$32="Mayor"),CONCATENATE("R6C",'Mapa final'!$W$32),"")</f>
        <v/>
      </c>
      <c r="AD41" s="47" t="str">
        <f>IF(AND('Mapa final'!$AG$33="Baja",'Mapa final'!$AI$33="Mayor"),CONCATENATE("R6C",'Mapa final'!$W$33),"")</f>
        <v/>
      </c>
      <c r="AE41" s="47" t="e">
        <f>IF(AND('Mapa final'!#REF!="Baja",'Mapa final'!#REF!="Mayor"),CONCATENATE("R6C",'Mapa final'!#REF!),"")</f>
        <v>#REF!</v>
      </c>
      <c r="AF41" s="47" t="e">
        <f>IF(AND('Mapa final'!#REF!="Baja",'Mapa final'!#REF!="Mayor"),CONCATENATE("R6C",'Mapa final'!#REF!),"")</f>
        <v>#REF!</v>
      </c>
      <c r="AG41" s="48" t="e">
        <f>IF(AND('Mapa final'!#REF!="Baja",'Mapa final'!#REF!="Mayor"),CONCATENATE("R6C",'Mapa final'!#REF!),"")</f>
        <v>#REF!</v>
      </c>
      <c r="AH41" s="49" t="str">
        <f>IF(AND('Mapa final'!$AG$31="Baja",'Mapa final'!$AI$31="Catastrófico"),CONCATENATE("R6C",'Mapa final'!$W$31),"")</f>
        <v/>
      </c>
      <c r="AI41" s="50" t="str">
        <f>IF(AND('Mapa final'!$AG$32="Baja",'Mapa final'!$AI$32="Catastrófico"),CONCATENATE("R6C",'Mapa final'!$W$32),"")</f>
        <v/>
      </c>
      <c r="AJ41" s="50" t="str">
        <f>IF(AND('Mapa final'!$AG$33="Baja",'Mapa final'!$AI$33="Catastrófico"),CONCATENATE("R6C",'Mapa final'!$W$33),"")</f>
        <v/>
      </c>
      <c r="AK41" s="50" t="e">
        <f>IF(AND('Mapa final'!#REF!="Baja",'Mapa final'!#REF!="Catastrófico"),CONCATENATE("R6C",'Mapa final'!#REF!),"")</f>
        <v>#REF!</v>
      </c>
      <c r="AL41" s="50" t="e">
        <f>IF(AND('Mapa final'!#REF!="Baja",'Mapa final'!#REF!="Catastrófico"),CONCATENATE("R6C",'Mapa final'!#REF!),"")</f>
        <v>#REF!</v>
      </c>
      <c r="AM41" s="51" t="e">
        <f>IF(AND('Mapa final'!#REF!="Baja",'Mapa final'!#REF!="Catastrófico"),CONCATENATE("R6C",'Mapa final'!#REF!),"")</f>
        <v>#REF!</v>
      </c>
      <c r="AN41" s="77"/>
      <c r="AO41" s="803"/>
      <c r="AP41" s="804"/>
      <c r="AQ41" s="804"/>
      <c r="AR41" s="804"/>
      <c r="AS41" s="804"/>
      <c r="AT41" s="805"/>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row>
    <row r="42" spans="1:80" ht="15" customHeight="1" x14ac:dyDescent="0.25">
      <c r="A42" s="77"/>
      <c r="B42" s="731"/>
      <c r="C42" s="731"/>
      <c r="D42" s="732"/>
      <c r="E42" s="772"/>
      <c r="F42" s="773"/>
      <c r="G42" s="773"/>
      <c r="H42" s="773"/>
      <c r="I42" s="773"/>
      <c r="J42" s="70" t="e">
        <f>IF(AND('Mapa final'!#REF!="Baja",'Mapa final'!#REF!="Leve"),CONCATENATE("R7C",'Mapa final'!#REF!),"")</f>
        <v>#REF!</v>
      </c>
      <c r="K42" s="71" t="e">
        <f>IF(AND('Mapa final'!#REF!="Baja",'Mapa final'!#REF!="Leve"),CONCATENATE("R7C",'Mapa final'!#REF!),"")</f>
        <v>#REF!</v>
      </c>
      <c r="L42" s="71" t="e">
        <f>IF(AND('Mapa final'!#REF!="Baja",'Mapa final'!#REF!="Leve"),CONCATENATE("R7C",'Mapa final'!#REF!),"")</f>
        <v>#REF!</v>
      </c>
      <c r="M42" s="71" t="str">
        <f>IF(AND('Mapa final'!$AG$36="Baja",'Mapa final'!$AI$36="Leve"),CONCATENATE("R7C",'Mapa final'!$W$36),"")</f>
        <v/>
      </c>
      <c r="N42" s="71" t="e">
        <f>IF(AND('Mapa final'!#REF!="Baja",'Mapa final'!#REF!="Leve"),CONCATENATE("R7C",'Mapa final'!#REF!),"")</f>
        <v>#REF!</v>
      </c>
      <c r="O42" s="72" t="e">
        <f>IF(AND('Mapa final'!#REF!="Baja",'Mapa final'!#REF!="Leve"),CONCATENATE("R7C",'Mapa final'!#REF!),"")</f>
        <v>#REF!</v>
      </c>
      <c r="P42" s="61" t="e">
        <f>IF(AND('Mapa final'!#REF!="Baja",'Mapa final'!#REF!="Menor"),CONCATENATE("R7C",'Mapa final'!#REF!),"")</f>
        <v>#REF!</v>
      </c>
      <c r="Q42" s="62" t="e">
        <f>IF(AND('Mapa final'!#REF!="Baja",'Mapa final'!#REF!="Menor"),CONCATENATE("R7C",'Mapa final'!#REF!),"")</f>
        <v>#REF!</v>
      </c>
      <c r="R42" s="62" t="e">
        <f>IF(AND('Mapa final'!#REF!="Baja",'Mapa final'!#REF!="Menor"),CONCATENATE("R7C",'Mapa final'!#REF!),"")</f>
        <v>#REF!</v>
      </c>
      <c r="S42" s="62" t="str">
        <f>IF(AND('Mapa final'!$AG$36="Baja",'Mapa final'!$AI$36="Menor"),CONCATENATE("R7C",'Mapa final'!$W$36),"")</f>
        <v/>
      </c>
      <c r="T42" s="62" t="e">
        <f>IF(AND('Mapa final'!#REF!="Baja",'Mapa final'!#REF!="Menor"),CONCATENATE("R7C",'Mapa final'!#REF!),"")</f>
        <v>#REF!</v>
      </c>
      <c r="U42" s="63" t="e">
        <f>IF(AND('Mapa final'!#REF!="Baja",'Mapa final'!#REF!="Menor"),CONCATENATE("R7C",'Mapa final'!#REF!),"")</f>
        <v>#REF!</v>
      </c>
      <c r="V42" s="61" t="e">
        <f>IF(AND('Mapa final'!#REF!="Baja",'Mapa final'!#REF!="Moderado"),CONCATENATE("R7C",'Mapa final'!#REF!),"")</f>
        <v>#REF!</v>
      </c>
      <c r="W42" s="62" t="e">
        <f>IF(AND('Mapa final'!#REF!="Baja",'Mapa final'!#REF!="Moderado"),CONCATENATE("R7C",'Mapa final'!#REF!),"")</f>
        <v>#REF!</v>
      </c>
      <c r="X42" s="62" t="e">
        <f>IF(AND('Mapa final'!#REF!="Baja",'Mapa final'!#REF!="Moderado"),CONCATENATE("R7C",'Mapa final'!#REF!),"")</f>
        <v>#REF!</v>
      </c>
      <c r="Y42" s="62" t="str">
        <f>IF(AND('Mapa final'!$AG$36="Baja",'Mapa final'!$AI$36="Moderado"),CONCATENATE("R7C",'Mapa final'!$W$36),"")</f>
        <v/>
      </c>
      <c r="Z42" s="62" t="e">
        <f>IF(AND('Mapa final'!#REF!="Baja",'Mapa final'!#REF!="Moderado"),CONCATENATE("R7C",'Mapa final'!#REF!),"")</f>
        <v>#REF!</v>
      </c>
      <c r="AA42" s="63" t="e">
        <f>IF(AND('Mapa final'!#REF!="Baja",'Mapa final'!#REF!="Moderado"),CONCATENATE("R7C",'Mapa final'!#REF!),"")</f>
        <v>#REF!</v>
      </c>
      <c r="AB42" s="46" t="e">
        <f>IF(AND('Mapa final'!#REF!="Baja",'Mapa final'!#REF!="Mayor"),CONCATENATE("R7C",'Mapa final'!#REF!),"")</f>
        <v>#REF!</v>
      </c>
      <c r="AC42" s="47" t="e">
        <f>IF(AND('Mapa final'!#REF!="Baja",'Mapa final'!#REF!="Mayor"),CONCATENATE("R7C",'Mapa final'!#REF!),"")</f>
        <v>#REF!</v>
      </c>
      <c r="AD42" s="47" t="e">
        <f>IF(AND('Mapa final'!#REF!="Baja",'Mapa final'!#REF!="Mayor"),CONCATENATE("R7C",'Mapa final'!#REF!),"")</f>
        <v>#REF!</v>
      </c>
      <c r="AE42" s="47" t="str">
        <f>IF(AND('Mapa final'!$AG$36="Baja",'Mapa final'!$AI$36="Mayor"),CONCATENATE("R7C",'Mapa final'!$W$36),"")</f>
        <v/>
      </c>
      <c r="AF42" s="47" t="e">
        <f>IF(AND('Mapa final'!#REF!="Baja",'Mapa final'!#REF!="Mayor"),CONCATENATE("R7C",'Mapa final'!#REF!),"")</f>
        <v>#REF!</v>
      </c>
      <c r="AG42" s="48" t="e">
        <f>IF(AND('Mapa final'!#REF!="Baja",'Mapa final'!#REF!="Mayor"),CONCATENATE("R7C",'Mapa final'!#REF!),"")</f>
        <v>#REF!</v>
      </c>
      <c r="AH42" s="49" t="e">
        <f>IF(AND('Mapa final'!#REF!="Baja",'Mapa final'!#REF!="Catastrófico"),CONCATENATE("R7C",'Mapa final'!#REF!),"")</f>
        <v>#REF!</v>
      </c>
      <c r="AI42" s="50" t="e">
        <f>IF(AND('Mapa final'!#REF!="Baja",'Mapa final'!#REF!="Catastrófico"),CONCATENATE("R7C",'Mapa final'!#REF!),"")</f>
        <v>#REF!</v>
      </c>
      <c r="AJ42" s="50" t="e">
        <f>IF(AND('Mapa final'!#REF!="Baja",'Mapa final'!#REF!="Catastrófico"),CONCATENATE("R7C",'Mapa final'!#REF!),"")</f>
        <v>#REF!</v>
      </c>
      <c r="AK42" s="50" t="str">
        <f>IF(AND('Mapa final'!$AG$36="Baja",'Mapa final'!$AI$36="Catastrófico"),CONCATENATE("R7C",'Mapa final'!$W$36),"")</f>
        <v/>
      </c>
      <c r="AL42" s="50" t="e">
        <f>IF(AND('Mapa final'!#REF!="Baja",'Mapa final'!#REF!="Catastrófico"),CONCATENATE("R7C",'Mapa final'!#REF!),"")</f>
        <v>#REF!</v>
      </c>
      <c r="AM42" s="51" t="e">
        <f>IF(AND('Mapa final'!#REF!="Baja",'Mapa final'!#REF!="Catastrófico"),CONCATENATE("R7C",'Mapa final'!#REF!),"")</f>
        <v>#REF!</v>
      </c>
      <c r="AN42" s="77"/>
      <c r="AO42" s="803"/>
      <c r="AP42" s="804"/>
      <c r="AQ42" s="804"/>
      <c r="AR42" s="804"/>
      <c r="AS42" s="804"/>
      <c r="AT42" s="805"/>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row>
    <row r="43" spans="1:80" ht="15" customHeight="1" x14ac:dyDescent="0.25">
      <c r="A43" s="77"/>
      <c r="B43" s="731"/>
      <c r="C43" s="731"/>
      <c r="D43" s="732"/>
      <c r="E43" s="772"/>
      <c r="F43" s="773"/>
      <c r="G43" s="773"/>
      <c r="H43" s="773"/>
      <c r="I43" s="773"/>
      <c r="J43" s="70" t="e">
        <f>IF(AND('Mapa final'!#REF!="Baja",'Mapa final'!#REF!="Leve"),CONCATENATE("R8C",'Mapa final'!#REF!),"")</f>
        <v>#REF!</v>
      </c>
      <c r="K43" s="71" t="e">
        <f>IF(AND('Mapa final'!#REF!="Baja",'Mapa final'!#REF!="Leve"),CONCATENATE("R8C",'Mapa final'!#REF!),"")</f>
        <v>#REF!</v>
      </c>
      <c r="L43" s="71" t="e">
        <f>IF(AND('Mapa final'!#REF!="Baja",'Mapa final'!#REF!="Leve"),CONCATENATE("R8C",'Mapa final'!#REF!),"")</f>
        <v>#REF!</v>
      </c>
      <c r="M43" s="71" t="e">
        <f>IF(AND('Mapa final'!#REF!="Baja",'Mapa final'!#REF!="Leve"),CONCATENATE("R8C",'Mapa final'!#REF!),"")</f>
        <v>#REF!</v>
      </c>
      <c r="N43" s="71" t="e">
        <f>IF(AND('Mapa final'!#REF!="Baja",'Mapa final'!#REF!="Leve"),CONCATENATE("R8C",'Mapa final'!#REF!),"")</f>
        <v>#REF!</v>
      </c>
      <c r="O43" s="72" t="e">
        <f>IF(AND('Mapa final'!#REF!="Baja",'Mapa final'!#REF!="Leve"),CONCATENATE("R8C",'Mapa final'!#REF!),"")</f>
        <v>#REF!</v>
      </c>
      <c r="P43" s="61" t="e">
        <f>IF(AND('Mapa final'!#REF!="Baja",'Mapa final'!#REF!="Menor"),CONCATENATE("R8C",'Mapa final'!#REF!),"")</f>
        <v>#REF!</v>
      </c>
      <c r="Q43" s="62" t="e">
        <f>IF(AND('Mapa final'!#REF!="Baja",'Mapa final'!#REF!="Menor"),CONCATENATE("R8C",'Mapa final'!#REF!),"")</f>
        <v>#REF!</v>
      </c>
      <c r="R43" s="62" t="e">
        <f>IF(AND('Mapa final'!#REF!="Baja",'Mapa final'!#REF!="Menor"),CONCATENATE("R8C",'Mapa final'!#REF!),"")</f>
        <v>#REF!</v>
      </c>
      <c r="S43" s="62" t="e">
        <f>IF(AND('Mapa final'!#REF!="Baja",'Mapa final'!#REF!="Menor"),CONCATENATE("R8C",'Mapa final'!#REF!),"")</f>
        <v>#REF!</v>
      </c>
      <c r="T43" s="62" t="e">
        <f>IF(AND('Mapa final'!#REF!="Baja",'Mapa final'!#REF!="Menor"),CONCATENATE("R8C",'Mapa final'!#REF!),"")</f>
        <v>#REF!</v>
      </c>
      <c r="U43" s="63" t="e">
        <f>IF(AND('Mapa final'!#REF!="Baja",'Mapa final'!#REF!="Menor"),CONCATENATE("R8C",'Mapa final'!#REF!),"")</f>
        <v>#REF!</v>
      </c>
      <c r="V43" s="61" t="e">
        <f>IF(AND('Mapa final'!#REF!="Baja",'Mapa final'!#REF!="Moderado"),CONCATENATE("R8C",'Mapa final'!#REF!),"")</f>
        <v>#REF!</v>
      </c>
      <c r="W43" s="62" t="e">
        <f>IF(AND('Mapa final'!#REF!="Baja",'Mapa final'!#REF!="Moderado"),CONCATENATE("R8C",'Mapa final'!#REF!),"")</f>
        <v>#REF!</v>
      </c>
      <c r="X43" s="62" t="e">
        <f>IF(AND('Mapa final'!#REF!="Baja",'Mapa final'!#REF!="Moderado"),CONCATENATE("R8C",'Mapa final'!#REF!),"")</f>
        <v>#REF!</v>
      </c>
      <c r="Y43" s="62" t="e">
        <f>IF(AND('Mapa final'!#REF!="Baja",'Mapa final'!#REF!="Moderado"),CONCATENATE("R8C",'Mapa final'!#REF!),"")</f>
        <v>#REF!</v>
      </c>
      <c r="Z43" s="62" t="e">
        <f>IF(AND('Mapa final'!#REF!="Baja",'Mapa final'!#REF!="Moderado"),CONCATENATE("R8C",'Mapa final'!#REF!),"")</f>
        <v>#REF!</v>
      </c>
      <c r="AA43" s="63" t="e">
        <f>IF(AND('Mapa final'!#REF!="Baja",'Mapa final'!#REF!="Moderado"),CONCATENATE("R8C",'Mapa final'!#REF!),"")</f>
        <v>#REF!</v>
      </c>
      <c r="AB43" s="46" t="e">
        <f>IF(AND('Mapa final'!#REF!="Baja",'Mapa final'!#REF!="Mayor"),CONCATENATE("R8C",'Mapa final'!#REF!),"")</f>
        <v>#REF!</v>
      </c>
      <c r="AC43" s="47" t="e">
        <f>IF(AND('Mapa final'!#REF!="Baja",'Mapa final'!#REF!="Mayor"),CONCATENATE("R8C",'Mapa final'!#REF!),"")</f>
        <v>#REF!</v>
      </c>
      <c r="AD43" s="47" t="e">
        <f>IF(AND('Mapa final'!#REF!="Baja",'Mapa final'!#REF!="Mayor"),CONCATENATE("R8C",'Mapa final'!#REF!),"")</f>
        <v>#REF!</v>
      </c>
      <c r="AE43" s="47" t="e">
        <f>IF(AND('Mapa final'!#REF!="Baja",'Mapa final'!#REF!="Mayor"),CONCATENATE("R8C",'Mapa final'!#REF!),"")</f>
        <v>#REF!</v>
      </c>
      <c r="AF43" s="47" t="e">
        <f>IF(AND('Mapa final'!#REF!="Baja",'Mapa final'!#REF!="Mayor"),CONCATENATE("R8C",'Mapa final'!#REF!),"")</f>
        <v>#REF!</v>
      </c>
      <c r="AG43" s="48" t="e">
        <f>IF(AND('Mapa final'!#REF!="Baja",'Mapa final'!#REF!="Mayor"),CONCATENATE("R8C",'Mapa final'!#REF!),"")</f>
        <v>#REF!</v>
      </c>
      <c r="AH43" s="49" t="e">
        <f>IF(AND('Mapa final'!#REF!="Baja",'Mapa final'!#REF!="Catastrófico"),CONCATENATE("R8C",'Mapa final'!#REF!),"")</f>
        <v>#REF!</v>
      </c>
      <c r="AI43" s="50" t="e">
        <f>IF(AND('Mapa final'!#REF!="Baja",'Mapa final'!#REF!="Catastrófico"),CONCATENATE("R8C",'Mapa final'!#REF!),"")</f>
        <v>#REF!</v>
      </c>
      <c r="AJ43" s="50" t="e">
        <f>IF(AND('Mapa final'!#REF!="Baja",'Mapa final'!#REF!="Catastrófico"),CONCATENATE("R8C",'Mapa final'!#REF!),"")</f>
        <v>#REF!</v>
      </c>
      <c r="AK43" s="50" t="e">
        <f>IF(AND('Mapa final'!#REF!="Baja",'Mapa final'!#REF!="Catastrófico"),CONCATENATE("R8C",'Mapa final'!#REF!),"")</f>
        <v>#REF!</v>
      </c>
      <c r="AL43" s="50" t="e">
        <f>IF(AND('Mapa final'!#REF!="Baja",'Mapa final'!#REF!="Catastrófico"),CONCATENATE("R8C",'Mapa final'!#REF!),"")</f>
        <v>#REF!</v>
      </c>
      <c r="AM43" s="51" t="e">
        <f>IF(AND('Mapa final'!#REF!="Baja",'Mapa final'!#REF!="Catastrófico"),CONCATENATE("R8C",'Mapa final'!#REF!),"")</f>
        <v>#REF!</v>
      </c>
      <c r="AN43" s="77"/>
      <c r="AO43" s="803"/>
      <c r="AP43" s="804"/>
      <c r="AQ43" s="804"/>
      <c r="AR43" s="804"/>
      <c r="AS43" s="804"/>
      <c r="AT43" s="805"/>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row>
    <row r="44" spans="1:80" ht="15" customHeight="1" x14ac:dyDescent="0.25">
      <c r="A44" s="77"/>
      <c r="B44" s="731"/>
      <c r="C44" s="731"/>
      <c r="D44" s="732"/>
      <c r="E44" s="772"/>
      <c r="F44" s="773"/>
      <c r="G44" s="773"/>
      <c r="H44" s="773"/>
      <c r="I44" s="773"/>
      <c r="J44" s="70" t="e">
        <f>IF(AND('Mapa final'!#REF!="Baja",'Mapa final'!#REF!="Leve"),CONCATENATE("R9C",'Mapa final'!#REF!),"")</f>
        <v>#REF!</v>
      </c>
      <c r="K44" s="71" t="e">
        <f>IF(AND('Mapa final'!#REF!="Baja",'Mapa final'!#REF!="Leve"),CONCATENATE("R9C",'Mapa final'!#REF!),"")</f>
        <v>#REF!</v>
      </c>
      <c r="L44" s="71" t="e">
        <f>IF(AND('Mapa final'!#REF!="Baja",'Mapa final'!#REF!="Leve"),CONCATENATE("R9C",'Mapa final'!#REF!),"")</f>
        <v>#REF!</v>
      </c>
      <c r="M44" s="71" t="e">
        <f>IF(AND('Mapa final'!#REF!="Baja",'Mapa final'!#REF!="Leve"),CONCATENATE("R9C",'Mapa final'!#REF!),"")</f>
        <v>#REF!</v>
      </c>
      <c r="N44" s="71" t="str">
        <f>IF(AND('Mapa final'!$AG$48="Baja",'Mapa final'!$AI$48="Leve"),CONCATENATE("R9C",'Mapa final'!$W$48),"")</f>
        <v/>
      </c>
      <c r="O44" s="72" t="str">
        <f>IF(AND('Mapa final'!$AG$49="Baja",'Mapa final'!$AI$49="Leve"),CONCATENATE("R9C",'Mapa final'!$W$49),"")</f>
        <v/>
      </c>
      <c r="P44" s="61" t="e">
        <f>IF(AND('Mapa final'!#REF!="Baja",'Mapa final'!#REF!="Menor"),CONCATENATE("R9C",'Mapa final'!#REF!),"")</f>
        <v>#REF!</v>
      </c>
      <c r="Q44" s="62" t="e">
        <f>IF(AND('Mapa final'!#REF!="Baja",'Mapa final'!#REF!="Menor"),CONCATENATE("R9C",'Mapa final'!#REF!),"")</f>
        <v>#REF!</v>
      </c>
      <c r="R44" s="62" t="e">
        <f>IF(AND('Mapa final'!#REF!="Baja",'Mapa final'!#REF!="Menor"),CONCATENATE("R9C",'Mapa final'!#REF!),"")</f>
        <v>#REF!</v>
      </c>
      <c r="S44" s="62" t="e">
        <f>IF(AND('Mapa final'!#REF!="Baja",'Mapa final'!#REF!="Menor"),CONCATENATE("R9C",'Mapa final'!#REF!),"")</f>
        <v>#REF!</v>
      </c>
      <c r="T44" s="62" t="str">
        <f>IF(AND('Mapa final'!$AG$48="Baja",'Mapa final'!$AI$48="Menor"),CONCATENATE("R9C",'Mapa final'!$W$48),"")</f>
        <v/>
      </c>
      <c r="U44" s="63" t="str">
        <f>IF(AND('Mapa final'!$AG$49="Baja",'Mapa final'!$AI$49="Menor"),CONCATENATE("R9C",'Mapa final'!$W$49),"")</f>
        <v/>
      </c>
      <c r="V44" s="61" t="e">
        <f>IF(AND('Mapa final'!#REF!="Baja",'Mapa final'!#REF!="Moderado"),CONCATENATE("R9C",'Mapa final'!#REF!),"")</f>
        <v>#REF!</v>
      </c>
      <c r="W44" s="62" t="e">
        <f>IF(AND('Mapa final'!#REF!="Baja",'Mapa final'!#REF!="Moderado"),CONCATENATE("R9C",'Mapa final'!#REF!),"")</f>
        <v>#REF!</v>
      </c>
      <c r="X44" s="62" t="e">
        <f>IF(AND('Mapa final'!#REF!="Baja",'Mapa final'!#REF!="Moderado"),CONCATENATE("R9C",'Mapa final'!#REF!),"")</f>
        <v>#REF!</v>
      </c>
      <c r="Y44" s="62" t="e">
        <f>IF(AND('Mapa final'!#REF!="Baja",'Mapa final'!#REF!="Moderado"),CONCATENATE("R9C",'Mapa final'!#REF!),"")</f>
        <v>#REF!</v>
      </c>
      <c r="Z44" s="62" t="str">
        <f>IF(AND('Mapa final'!$AG$48="Baja",'Mapa final'!$AI$48="Moderado"),CONCATENATE("R9C",'Mapa final'!$W$48),"")</f>
        <v/>
      </c>
      <c r="AA44" s="63" t="str">
        <f>IF(AND('Mapa final'!$AG$49="Baja",'Mapa final'!$AI$49="Moderado"),CONCATENATE("R9C",'Mapa final'!$W$49),"")</f>
        <v/>
      </c>
      <c r="AB44" s="46" t="e">
        <f>IF(AND('Mapa final'!#REF!="Baja",'Mapa final'!#REF!="Mayor"),CONCATENATE("R9C",'Mapa final'!#REF!),"")</f>
        <v>#REF!</v>
      </c>
      <c r="AC44" s="47" t="e">
        <f>IF(AND('Mapa final'!#REF!="Baja",'Mapa final'!#REF!="Mayor"),CONCATENATE("R9C",'Mapa final'!#REF!),"")</f>
        <v>#REF!</v>
      </c>
      <c r="AD44" s="47" t="e">
        <f>IF(AND('Mapa final'!#REF!="Baja",'Mapa final'!#REF!="Mayor"),CONCATENATE("R9C",'Mapa final'!#REF!),"")</f>
        <v>#REF!</v>
      </c>
      <c r="AE44" s="47" t="e">
        <f>IF(AND('Mapa final'!#REF!="Baja",'Mapa final'!#REF!="Mayor"),CONCATENATE("R9C",'Mapa final'!#REF!),"")</f>
        <v>#REF!</v>
      </c>
      <c r="AF44" s="47" t="str">
        <f>IF(AND('Mapa final'!$AG$48="Baja",'Mapa final'!$AI$48="Mayor"),CONCATENATE("R9C",'Mapa final'!$W$48),"")</f>
        <v/>
      </c>
      <c r="AG44" s="48" t="str">
        <f>IF(AND('Mapa final'!$AG$49="Baja",'Mapa final'!$AI$49="Mayor"),CONCATENATE("R9C",'Mapa final'!$W$49),"")</f>
        <v/>
      </c>
      <c r="AH44" s="49" t="e">
        <f>IF(AND('Mapa final'!#REF!="Baja",'Mapa final'!#REF!="Catastrófico"),CONCATENATE("R9C",'Mapa final'!#REF!),"")</f>
        <v>#REF!</v>
      </c>
      <c r="AI44" s="50" t="e">
        <f>IF(AND('Mapa final'!#REF!="Baja",'Mapa final'!#REF!="Catastrófico"),CONCATENATE("R9C",'Mapa final'!#REF!),"")</f>
        <v>#REF!</v>
      </c>
      <c r="AJ44" s="50" t="e">
        <f>IF(AND('Mapa final'!#REF!="Baja",'Mapa final'!#REF!="Catastrófico"),CONCATENATE("R9C",'Mapa final'!#REF!),"")</f>
        <v>#REF!</v>
      </c>
      <c r="AK44" s="50" t="e">
        <f>IF(AND('Mapa final'!#REF!="Baja",'Mapa final'!#REF!="Catastrófico"),CONCATENATE("R9C",'Mapa final'!#REF!),"")</f>
        <v>#REF!</v>
      </c>
      <c r="AL44" s="50" t="str">
        <f>IF(AND('Mapa final'!$AG$48="Baja",'Mapa final'!$AI$48="Catastrófico"),CONCATENATE("R9C",'Mapa final'!$W$48),"")</f>
        <v/>
      </c>
      <c r="AM44" s="51" t="str">
        <f>IF(AND('Mapa final'!$AG$49="Baja",'Mapa final'!$AI$49="Catastrófico"),CONCATENATE("R9C",'Mapa final'!$W$49),"")</f>
        <v/>
      </c>
      <c r="AN44" s="77"/>
      <c r="AO44" s="803"/>
      <c r="AP44" s="804"/>
      <c r="AQ44" s="804"/>
      <c r="AR44" s="804"/>
      <c r="AS44" s="804"/>
      <c r="AT44" s="805"/>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row>
    <row r="45" spans="1:80" ht="15.75" customHeight="1" thickBot="1" x14ac:dyDescent="0.3">
      <c r="A45" s="77"/>
      <c r="B45" s="731"/>
      <c r="C45" s="731"/>
      <c r="D45" s="732"/>
      <c r="E45" s="775"/>
      <c r="F45" s="776"/>
      <c r="G45" s="776"/>
      <c r="H45" s="776"/>
      <c r="I45" s="776"/>
      <c r="J45" s="73" t="e">
        <f>IF(AND('Mapa final'!#REF!="Baja",'Mapa final'!#REF!="Leve"),CONCATENATE("R10C",'Mapa final'!#REF!),"")</f>
        <v>#REF!</v>
      </c>
      <c r="K45" s="74" t="e">
        <f>IF(AND('Mapa final'!#REF!="Baja",'Mapa final'!#REF!="Leve"),CONCATENATE("R10C",'Mapa final'!#REF!),"")</f>
        <v>#REF!</v>
      </c>
      <c r="L45" s="74" t="e">
        <f>IF(AND('Mapa final'!#REF!="Baja",'Mapa final'!#REF!="Leve"),CONCATENATE("R10C",'Mapa final'!#REF!),"")</f>
        <v>#REF!</v>
      </c>
      <c r="M45" s="74" t="e">
        <f>IF(AND('Mapa final'!#REF!="Baja",'Mapa final'!#REF!="Leve"),CONCATENATE("R10C",'Mapa final'!#REF!),"")</f>
        <v>#REF!</v>
      </c>
      <c r="N45" s="74" t="e">
        <f>IF(AND('Mapa final'!#REF!="Baja",'Mapa final'!#REF!="Leve"),CONCATENATE("R10C",'Mapa final'!#REF!),"")</f>
        <v>#REF!</v>
      </c>
      <c r="O45" s="75" t="e">
        <f>IF(AND('Mapa final'!#REF!="Baja",'Mapa final'!#REF!="Leve"),CONCATENATE("R10C",'Mapa final'!#REF!),"")</f>
        <v>#REF!</v>
      </c>
      <c r="P45" s="61" t="e">
        <f>IF(AND('Mapa final'!#REF!="Baja",'Mapa final'!#REF!="Menor"),CONCATENATE("R10C",'Mapa final'!#REF!),"")</f>
        <v>#REF!</v>
      </c>
      <c r="Q45" s="62" t="e">
        <f>IF(AND('Mapa final'!#REF!="Baja",'Mapa final'!#REF!="Menor"),CONCATENATE("R10C",'Mapa final'!#REF!),"")</f>
        <v>#REF!</v>
      </c>
      <c r="R45" s="62" t="e">
        <f>IF(AND('Mapa final'!#REF!="Baja",'Mapa final'!#REF!="Menor"),CONCATENATE("R10C",'Mapa final'!#REF!),"")</f>
        <v>#REF!</v>
      </c>
      <c r="S45" s="62" t="e">
        <f>IF(AND('Mapa final'!#REF!="Baja",'Mapa final'!#REF!="Menor"),CONCATENATE("R10C",'Mapa final'!#REF!),"")</f>
        <v>#REF!</v>
      </c>
      <c r="T45" s="62" t="e">
        <f>IF(AND('Mapa final'!#REF!="Baja",'Mapa final'!#REF!="Menor"),CONCATENATE("R10C",'Mapa final'!#REF!),"")</f>
        <v>#REF!</v>
      </c>
      <c r="U45" s="63" t="e">
        <f>IF(AND('Mapa final'!#REF!="Baja",'Mapa final'!#REF!="Menor"),CONCATENATE("R10C",'Mapa final'!#REF!),"")</f>
        <v>#REF!</v>
      </c>
      <c r="V45" s="64" t="e">
        <f>IF(AND('Mapa final'!#REF!="Baja",'Mapa final'!#REF!="Moderado"),CONCATENATE("R10C",'Mapa final'!#REF!),"")</f>
        <v>#REF!</v>
      </c>
      <c r="W45" s="65" t="e">
        <f>IF(AND('Mapa final'!#REF!="Baja",'Mapa final'!#REF!="Moderado"),CONCATENATE("R10C",'Mapa final'!#REF!),"")</f>
        <v>#REF!</v>
      </c>
      <c r="X45" s="65" t="e">
        <f>IF(AND('Mapa final'!#REF!="Baja",'Mapa final'!#REF!="Moderado"),CONCATENATE("R10C",'Mapa final'!#REF!),"")</f>
        <v>#REF!</v>
      </c>
      <c r="Y45" s="65" t="e">
        <f>IF(AND('Mapa final'!#REF!="Baja",'Mapa final'!#REF!="Moderado"),CONCATENATE("R10C",'Mapa final'!#REF!),"")</f>
        <v>#REF!</v>
      </c>
      <c r="Z45" s="65" t="e">
        <f>IF(AND('Mapa final'!#REF!="Baja",'Mapa final'!#REF!="Moderado"),CONCATENATE("R10C",'Mapa final'!#REF!),"")</f>
        <v>#REF!</v>
      </c>
      <c r="AA45" s="66" t="e">
        <f>IF(AND('Mapa final'!#REF!="Baja",'Mapa final'!#REF!="Moderado"),CONCATENATE("R10C",'Mapa final'!#REF!),"")</f>
        <v>#REF!</v>
      </c>
      <c r="AB45" s="52" t="e">
        <f>IF(AND('Mapa final'!#REF!="Baja",'Mapa final'!#REF!="Mayor"),CONCATENATE("R10C",'Mapa final'!#REF!),"")</f>
        <v>#REF!</v>
      </c>
      <c r="AC45" s="53" t="e">
        <f>IF(AND('Mapa final'!#REF!="Baja",'Mapa final'!#REF!="Mayor"),CONCATENATE("R10C",'Mapa final'!#REF!),"")</f>
        <v>#REF!</v>
      </c>
      <c r="AD45" s="53" t="e">
        <f>IF(AND('Mapa final'!#REF!="Baja",'Mapa final'!#REF!="Mayor"),CONCATENATE("R10C",'Mapa final'!#REF!),"")</f>
        <v>#REF!</v>
      </c>
      <c r="AE45" s="53" t="e">
        <f>IF(AND('Mapa final'!#REF!="Baja",'Mapa final'!#REF!="Mayor"),CONCATENATE("R10C",'Mapa final'!#REF!),"")</f>
        <v>#REF!</v>
      </c>
      <c r="AF45" s="53" t="e">
        <f>IF(AND('Mapa final'!#REF!="Baja",'Mapa final'!#REF!="Mayor"),CONCATENATE("R10C",'Mapa final'!#REF!),"")</f>
        <v>#REF!</v>
      </c>
      <c r="AG45" s="54" t="e">
        <f>IF(AND('Mapa final'!#REF!="Baja",'Mapa final'!#REF!="Mayor"),CONCATENATE("R10C",'Mapa final'!#REF!),"")</f>
        <v>#REF!</v>
      </c>
      <c r="AH45" s="55" t="e">
        <f>IF(AND('Mapa final'!#REF!="Baja",'Mapa final'!#REF!="Catastrófico"),CONCATENATE("R10C",'Mapa final'!#REF!),"")</f>
        <v>#REF!</v>
      </c>
      <c r="AI45" s="56" t="e">
        <f>IF(AND('Mapa final'!#REF!="Baja",'Mapa final'!#REF!="Catastrófico"),CONCATENATE("R10C",'Mapa final'!#REF!),"")</f>
        <v>#REF!</v>
      </c>
      <c r="AJ45" s="56" t="e">
        <f>IF(AND('Mapa final'!#REF!="Baja",'Mapa final'!#REF!="Catastrófico"),CONCATENATE("R10C",'Mapa final'!#REF!),"")</f>
        <v>#REF!</v>
      </c>
      <c r="AK45" s="56" t="e">
        <f>IF(AND('Mapa final'!#REF!="Baja",'Mapa final'!#REF!="Catastrófico"),CONCATENATE("R10C",'Mapa final'!#REF!),"")</f>
        <v>#REF!</v>
      </c>
      <c r="AL45" s="56" t="e">
        <f>IF(AND('Mapa final'!#REF!="Baja",'Mapa final'!#REF!="Catastrófico"),CONCATENATE("R10C",'Mapa final'!#REF!),"")</f>
        <v>#REF!</v>
      </c>
      <c r="AM45" s="57" t="e">
        <f>IF(AND('Mapa final'!#REF!="Baja",'Mapa final'!#REF!="Catastrófico"),CONCATENATE("R10C",'Mapa final'!#REF!),"")</f>
        <v>#REF!</v>
      </c>
      <c r="AN45" s="77"/>
      <c r="AO45" s="806"/>
      <c r="AP45" s="807"/>
      <c r="AQ45" s="807"/>
      <c r="AR45" s="807"/>
      <c r="AS45" s="807"/>
      <c r="AT45" s="808"/>
    </row>
    <row r="46" spans="1:80" ht="46.5" customHeight="1" x14ac:dyDescent="0.35">
      <c r="A46" s="77"/>
      <c r="B46" s="731"/>
      <c r="C46" s="731"/>
      <c r="D46" s="732"/>
      <c r="E46" s="769" t="s">
        <v>542</v>
      </c>
      <c r="F46" s="770"/>
      <c r="G46" s="770"/>
      <c r="H46" s="770"/>
      <c r="I46" s="771"/>
      <c r="J46" s="67" t="e">
        <f>IF(AND('Mapa final'!#REF!="Muy Baja",'Mapa final'!#REF!="Leve"),CONCATENATE("R1C",'Mapa final'!#REF!),"")</f>
        <v>#REF!</v>
      </c>
      <c r="K46" s="68" t="e">
        <f>IF(AND('Mapa final'!#REF!="Muy Baja",'Mapa final'!#REF!="Leve"),CONCATENATE("R1C",'Mapa final'!#REF!),"")</f>
        <v>#REF!</v>
      </c>
      <c r="L46" s="68" t="e">
        <f>IF(AND('Mapa final'!#REF!="Muy Baja",'Mapa final'!#REF!="Leve"),CONCATENATE("R1C",'Mapa final'!#REF!),"")</f>
        <v>#REF!</v>
      </c>
      <c r="M46" s="68" t="e">
        <f>IF(AND('Mapa final'!#REF!="Muy Baja",'Mapa final'!#REF!="Leve"),CONCATENATE("R1C",'Mapa final'!#REF!),"")</f>
        <v>#REF!</v>
      </c>
      <c r="N46" s="68" t="e">
        <f>IF(AND('Mapa final'!#REF!="Muy Baja",'Mapa final'!#REF!="Leve"),CONCATENATE("R1C",'Mapa final'!#REF!),"")</f>
        <v>#REF!</v>
      </c>
      <c r="O46" s="69" t="e">
        <f>IF(AND('Mapa final'!#REF!="Muy Baja",'Mapa final'!#REF!="Leve"),CONCATENATE("R1C",'Mapa final'!#REF!),"")</f>
        <v>#REF!</v>
      </c>
      <c r="P46" s="67" t="e">
        <f>IF(AND('Mapa final'!#REF!="Muy Baja",'Mapa final'!#REF!="Menor"),CONCATENATE("R1C",'Mapa final'!#REF!),"")</f>
        <v>#REF!</v>
      </c>
      <c r="Q46" s="68" t="e">
        <f>IF(AND('Mapa final'!#REF!="Muy Baja",'Mapa final'!#REF!="Menor"),CONCATENATE("R1C",'Mapa final'!#REF!),"")</f>
        <v>#REF!</v>
      </c>
      <c r="R46" s="68" t="e">
        <f>IF(AND('Mapa final'!#REF!="Muy Baja",'Mapa final'!#REF!="Menor"),CONCATENATE("R1C",'Mapa final'!#REF!),"")</f>
        <v>#REF!</v>
      </c>
      <c r="S46" s="68" t="e">
        <f>IF(AND('Mapa final'!#REF!="Muy Baja",'Mapa final'!#REF!="Menor"),CONCATENATE("R1C",'Mapa final'!#REF!),"")</f>
        <v>#REF!</v>
      </c>
      <c r="T46" s="68" t="e">
        <f>IF(AND('Mapa final'!#REF!="Muy Baja",'Mapa final'!#REF!="Menor"),CONCATENATE("R1C",'Mapa final'!#REF!),"")</f>
        <v>#REF!</v>
      </c>
      <c r="U46" s="69" t="e">
        <f>IF(AND('Mapa final'!#REF!="Muy Baja",'Mapa final'!#REF!="Menor"),CONCATENATE("R1C",'Mapa final'!#REF!),"")</f>
        <v>#REF!</v>
      </c>
      <c r="V46" s="58" t="e">
        <f>IF(AND('Mapa final'!#REF!="Muy Baja",'Mapa final'!#REF!="Moderado"),CONCATENATE("R1C",'Mapa final'!#REF!),"")</f>
        <v>#REF!</v>
      </c>
      <c r="W46" s="76" t="e">
        <f>IF(AND('Mapa final'!#REF!="Muy Baja",'Mapa final'!#REF!="Moderado"),CONCATENATE("R1C",'Mapa final'!#REF!),"")</f>
        <v>#REF!</v>
      </c>
      <c r="X46" s="59" t="e">
        <f>IF(AND('Mapa final'!#REF!="Muy Baja",'Mapa final'!#REF!="Moderado"),CONCATENATE("R1C",'Mapa final'!#REF!),"")</f>
        <v>#REF!</v>
      </c>
      <c r="Y46" s="59" t="e">
        <f>IF(AND('Mapa final'!#REF!="Muy Baja",'Mapa final'!#REF!="Moderado"),CONCATENATE("R1C",'Mapa final'!#REF!),"")</f>
        <v>#REF!</v>
      </c>
      <c r="Z46" s="59" t="e">
        <f>IF(AND('Mapa final'!#REF!="Muy Baja",'Mapa final'!#REF!="Moderado"),CONCATENATE("R1C",'Mapa final'!#REF!),"")</f>
        <v>#REF!</v>
      </c>
      <c r="AA46" s="60" t="e">
        <f>IF(AND('Mapa final'!#REF!="Muy Baja",'Mapa final'!#REF!="Moderado"),CONCATENATE("R1C",'Mapa final'!#REF!),"")</f>
        <v>#REF!</v>
      </c>
      <c r="AB46" s="40" t="e">
        <f>IF(AND('Mapa final'!#REF!="Muy Baja",'Mapa final'!#REF!="Mayor"),CONCATENATE("R1C",'Mapa final'!#REF!),"")</f>
        <v>#REF!</v>
      </c>
      <c r="AC46" s="41" t="e">
        <f>IF(AND('Mapa final'!#REF!="Muy Baja",'Mapa final'!#REF!="Mayor"),CONCATENATE("R1C",'Mapa final'!#REF!),"")</f>
        <v>#REF!</v>
      </c>
      <c r="AD46" s="41" t="e">
        <f>IF(AND('Mapa final'!#REF!="Muy Baja",'Mapa final'!#REF!="Mayor"),CONCATENATE("R1C",'Mapa final'!#REF!),"")</f>
        <v>#REF!</v>
      </c>
      <c r="AE46" s="41" t="e">
        <f>IF(AND('Mapa final'!#REF!="Muy Baja",'Mapa final'!#REF!="Mayor"),CONCATENATE("R1C",'Mapa final'!#REF!),"")</f>
        <v>#REF!</v>
      </c>
      <c r="AF46" s="41" t="e">
        <f>IF(AND('Mapa final'!#REF!="Muy Baja",'Mapa final'!#REF!="Mayor"),CONCATENATE("R1C",'Mapa final'!#REF!),"")</f>
        <v>#REF!</v>
      </c>
      <c r="AG46" s="42" t="e">
        <f>IF(AND('Mapa final'!#REF!="Muy Baja",'Mapa final'!#REF!="Mayor"),CONCATENATE("R1C",'Mapa final'!#REF!),"")</f>
        <v>#REF!</v>
      </c>
      <c r="AH46" s="43" t="e">
        <f>IF(AND('Mapa final'!#REF!="Muy Baja",'Mapa final'!#REF!="Catastrófico"),CONCATENATE("R1C",'Mapa final'!#REF!),"")</f>
        <v>#REF!</v>
      </c>
      <c r="AI46" s="44" t="e">
        <f>IF(AND('Mapa final'!#REF!="Muy Baja",'Mapa final'!#REF!="Catastrófico"),CONCATENATE("R1C",'Mapa final'!#REF!),"")</f>
        <v>#REF!</v>
      </c>
      <c r="AJ46" s="44" t="e">
        <f>IF(AND('Mapa final'!#REF!="Muy Baja",'Mapa final'!#REF!="Catastrófico"),CONCATENATE("R1C",'Mapa final'!#REF!),"")</f>
        <v>#REF!</v>
      </c>
      <c r="AK46" s="44" t="e">
        <f>IF(AND('Mapa final'!#REF!="Muy Baja",'Mapa final'!#REF!="Catastrófico"),CONCATENATE("R1C",'Mapa final'!#REF!),"")</f>
        <v>#REF!</v>
      </c>
      <c r="AL46" s="44" t="e">
        <f>IF(AND('Mapa final'!#REF!="Muy Baja",'Mapa final'!#REF!="Catastrófico"),CONCATENATE("R1C",'Mapa final'!#REF!),"")</f>
        <v>#REF!</v>
      </c>
      <c r="AM46" s="45" t="e">
        <f>IF(AND('Mapa final'!#REF!="Muy Baja",'Mapa final'!#REF!="Catastrófico"),CONCATENATE("R1C",'Mapa final'!#REF!),"")</f>
        <v>#REF!</v>
      </c>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row>
    <row r="47" spans="1:80" ht="46.5" customHeight="1" x14ac:dyDescent="0.25">
      <c r="A47" s="77"/>
      <c r="B47" s="731"/>
      <c r="C47" s="731"/>
      <c r="D47" s="732"/>
      <c r="E47" s="788"/>
      <c r="F47" s="773"/>
      <c r="G47" s="773"/>
      <c r="H47" s="773"/>
      <c r="I47" s="774"/>
      <c r="J47" s="70" t="e">
        <f>IF(AND('Mapa final'!#REF!="Muy Baja",'Mapa final'!#REF!="Leve"),CONCATENATE("R2C",'Mapa final'!#REF!),"")</f>
        <v>#REF!</v>
      </c>
      <c r="K47" s="71" t="e">
        <f>IF(AND('Mapa final'!#REF!="Muy Baja",'Mapa final'!#REF!="Leve"),CONCATENATE("R2C",'Mapa final'!#REF!),"")</f>
        <v>#REF!</v>
      </c>
      <c r="L47" s="71" t="e">
        <f>IF(AND('Mapa final'!#REF!="Muy Baja",'Mapa final'!#REF!="Leve"),CONCATENATE("R2C",'Mapa final'!#REF!),"")</f>
        <v>#REF!</v>
      </c>
      <c r="M47" s="71" t="e">
        <f>IF(AND('Mapa final'!#REF!="Muy Baja",'Mapa final'!#REF!="Leve"),CONCATENATE("R2C",'Mapa final'!#REF!),"")</f>
        <v>#REF!</v>
      </c>
      <c r="N47" s="71" t="e">
        <f>IF(AND('Mapa final'!#REF!="Muy Baja",'Mapa final'!#REF!="Leve"),CONCATENATE("R2C",'Mapa final'!#REF!),"")</f>
        <v>#REF!</v>
      </c>
      <c r="O47" s="72" t="str">
        <f>IF(AND('Mapa final'!$AG$17="Muy Baja",'Mapa final'!$AI$17="Leve"),CONCATENATE("R2C",'Mapa final'!$W$17),"")</f>
        <v/>
      </c>
      <c r="P47" s="70" t="e">
        <f>IF(AND('Mapa final'!#REF!="Muy Baja",'Mapa final'!#REF!="Menor"),CONCATENATE("R2C",'Mapa final'!#REF!),"")</f>
        <v>#REF!</v>
      </c>
      <c r="Q47" s="71" t="e">
        <f>IF(AND('Mapa final'!#REF!="Muy Baja",'Mapa final'!#REF!="Menor"),CONCATENATE("R2C",'Mapa final'!#REF!),"")</f>
        <v>#REF!</v>
      </c>
      <c r="R47" s="71" t="e">
        <f>IF(AND('Mapa final'!#REF!="Muy Baja",'Mapa final'!#REF!="Menor"),CONCATENATE("R2C",'Mapa final'!#REF!),"")</f>
        <v>#REF!</v>
      </c>
      <c r="S47" s="71" t="e">
        <f>IF(AND('Mapa final'!#REF!="Muy Baja",'Mapa final'!#REF!="Menor"),CONCATENATE("R2C",'Mapa final'!#REF!),"")</f>
        <v>#REF!</v>
      </c>
      <c r="T47" s="71" t="e">
        <f>IF(AND('Mapa final'!#REF!="Muy Baja",'Mapa final'!#REF!="Menor"),CONCATENATE("R2C",'Mapa final'!#REF!),"")</f>
        <v>#REF!</v>
      </c>
      <c r="U47" s="72" t="str">
        <f>IF(AND('Mapa final'!$AG$17="Muy Baja",'Mapa final'!$AI$17="Menor"),CONCATENATE("R2C",'Mapa final'!$W$17),"")</f>
        <v/>
      </c>
      <c r="V47" s="61" t="e">
        <f>IF(AND('Mapa final'!#REF!="Muy Baja",'Mapa final'!#REF!="Moderado"),CONCATENATE("R2C",'Mapa final'!#REF!),"")</f>
        <v>#REF!</v>
      </c>
      <c r="W47" s="62" t="e">
        <f>IF(AND('Mapa final'!#REF!="Muy Baja",'Mapa final'!#REF!="Moderado"),CONCATENATE("R2C",'Mapa final'!#REF!),"")</f>
        <v>#REF!</v>
      </c>
      <c r="X47" s="62" t="e">
        <f>IF(AND('Mapa final'!#REF!="Muy Baja",'Mapa final'!#REF!="Moderado"),CONCATENATE("R2C",'Mapa final'!#REF!),"")</f>
        <v>#REF!</v>
      </c>
      <c r="Y47" s="62" t="e">
        <f>IF(AND('Mapa final'!#REF!="Muy Baja",'Mapa final'!#REF!="Moderado"),CONCATENATE("R2C",'Mapa final'!#REF!),"")</f>
        <v>#REF!</v>
      </c>
      <c r="Z47" s="62" t="e">
        <f>IF(AND('Mapa final'!#REF!="Muy Baja",'Mapa final'!#REF!="Moderado"),CONCATENATE("R2C",'Mapa final'!#REF!),"")</f>
        <v>#REF!</v>
      </c>
      <c r="AA47" s="63" t="str">
        <f>IF(AND('Mapa final'!$AG$17="Muy Baja",'Mapa final'!$AI$17="Moderado"),CONCATENATE("R2C",'Mapa final'!$W$17),"")</f>
        <v/>
      </c>
      <c r="AB47" s="46" t="e">
        <f>IF(AND('Mapa final'!#REF!="Muy Baja",'Mapa final'!#REF!="Mayor"),CONCATENATE("R2C",'Mapa final'!#REF!),"")</f>
        <v>#REF!</v>
      </c>
      <c r="AC47" s="47" t="e">
        <f>IF(AND('Mapa final'!#REF!="Muy Baja",'Mapa final'!#REF!="Mayor"),CONCATENATE("R2C",'Mapa final'!#REF!),"")</f>
        <v>#REF!</v>
      </c>
      <c r="AD47" s="47" t="e">
        <f>IF(AND('Mapa final'!#REF!="Muy Baja",'Mapa final'!#REF!="Mayor"),CONCATENATE("R2C",'Mapa final'!#REF!),"")</f>
        <v>#REF!</v>
      </c>
      <c r="AE47" s="47" t="e">
        <f>IF(AND('Mapa final'!#REF!="Muy Baja",'Mapa final'!#REF!="Mayor"),CONCATENATE("R2C",'Mapa final'!#REF!),"")</f>
        <v>#REF!</v>
      </c>
      <c r="AF47" s="47" t="e">
        <f>IF(AND('Mapa final'!#REF!="Muy Baja",'Mapa final'!#REF!="Mayor"),CONCATENATE("R2C",'Mapa final'!#REF!),"")</f>
        <v>#REF!</v>
      </c>
      <c r="AG47" s="48" t="str">
        <f>IF(AND('Mapa final'!$AG$17="Muy Baja",'Mapa final'!$AI$17="Mayor"),CONCATENATE("R2C",'Mapa final'!$W$17),"")</f>
        <v/>
      </c>
      <c r="AH47" s="49" t="e">
        <f>IF(AND('Mapa final'!#REF!="Muy Baja",'Mapa final'!#REF!="Catastrófico"),CONCATENATE("R2C",'Mapa final'!#REF!),"")</f>
        <v>#REF!</v>
      </c>
      <c r="AI47" s="50" t="e">
        <f>IF(AND('Mapa final'!#REF!="Muy Baja",'Mapa final'!#REF!="Catastrófico"),CONCATENATE("R2C",'Mapa final'!#REF!),"")</f>
        <v>#REF!</v>
      </c>
      <c r="AJ47" s="50" t="e">
        <f>IF(AND('Mapa final'!#REF!="Muy Baja",'Mapa final'!#REF!="Catastrófico"),CONCATENATE("R2C",'Mapa final'!#REF!),"")</f>
        <v>#REF!</v>
      </c>
      <c r="AK47" s="50" t="e">
        <f>IF(AND('Mapa final'!#REF!="Muy Baja",'Mapa final'!#REF!="Catastrófico"),CONCATENATE("R2C",'Mapa final'!#REF!),"")</f>
        <v>#REF!</v>
      </c>
      <c r="AL47" s="50" t="e">
        <f>IF(AND('Mapa final'!#REF!="Muy Baja",'Mapa final'!#REF!="Catastrófico"),CONCATENATE("R2C",'Mapa final'!#REF!),"")</f>
        <v>#REF!</v>
      </c>
      <c r="AM47" s="51" t="str">
        <f>IF(AND('Mapa final'!$AG$17="Muy Baja",'Mapa final'!$AI$17="Catastrófico"),CONCATENATE("R2C",'Mapa final'!$W$17),"")</f>
        <v/>
      </c>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row>
    <row r="48" spans="1:80" ht="15" customHeight="1" x14ac:dyDescent="0.25">
      <c r="A48" s="77"/>
      <c r="B48" s="731"/>
      <c r="C48" s="731"/>
      <c r="D48" s="732"/>
      <c r="E48" s="788"/>
      <c r="F48" s="773"/>
      <c r="G48" s="773"/>
      <c r="H48" s="773"/>
      <c r="I48" s="774"/>
      <c r="J48" s="70" t="str">
        <f>IF(AND('Mapa final'!$AG$18="Muy Baja",'Mapa final'!$AI$18="Leve"),CONCATENATE("R3C",'Mapa final'!$W$18),"")</f>
        <v/>
      </c>
      <c r="K48" s="71" t="str">
        <f>IF(AND('Mapa final'!$AG$19="Muy Baja",'Mapa final'!$AI$19="Leve"),CONCATENATE("R3C",'Mapa final'!$W$19),"")</f>
        <v/>
      </c>
      <c r="L48" s="71" t="str">
        <f>IF(AND('Mapa final'!$AG$20="Muy Baja",'Mapa final'!$AI$20="Leve"),CONCATENATE("R3C",'Mapa final'!$W$20),"")</f>
        <v/>
      </c>
      <c r="M48" s="71" t="str">
        <f>IF(AND('Mapa final'!$AG$21="Muy Baja",'Mapa final'!$AI$21="Leve"),CONCATENATE("R3C",'Mapa final'!$W$21),"")</f>
        <v/>
      </c>
      <c r="N48" s="71" t="e">
        <f>IF(AND('Mapa final'!#REF!="Muy Baja",'Mapa final'!#REF!="Leve"),CONCATENATE("R3C",'Mapa final'!#REF!),"")</f>
        <v>#REF!</v>
      </c>
      <c r="O48" s="72" t="e">
        <f>IF(AND('Mapa final'!#REF!="Muy Baja",'Mapa final'!#REF!="Leve"),CONCATENATE("R3C",'Mapa final'!#REF!),"")</f>
        <v>#REF!</v>
      </c>
      <c r="P48" s="70" t="str">
        <f>IF(AND('Mapa final'!$AG$18="Muy Baja",'Mapa final'!$AI$18="Menor"),CONCATENATE("R3C",'Mapa final'!$W$18),"")</f>
        <v/>
      </c>
      <c r="Q48" s="71" t="str">
        <f>IF(AND('Mapa final'!$AG$19="Muy Baja",'Mapa final'!$AI$19="Menor"),CONCATENATE("R3C",'Mapa final'!$W$19),"")</f>
        <v/>
      </c>
      <c r="R48" s="71" t="str">
        <f>IF(AND('Mapa final'!$AG$20="Muy Baja",'Mapa final'!$AI$20="Menor"),CONCATENATE("R3C",'Mapa final'!$W$20),"")</f>
        <v/>
      </c>
      <c r="S48" s="71" t="str">
        <f>IF(AND('Mapa final'!$AG$21="Muy Baja",'Mapa final'!$AI$21="Menor"),CONCATENATE("R3C",'Mapa final'!$W$21),"")</f>
        <v/>
      </c>
      <c r="T48" s="71" t="e">
        <f>IF(AND('Mapa final'!#REF!="Muy Baja",'Mapa final'!#REF!="Menor"),CONCATENATE("R3C",'Mapa final'!#REF!),"")</f>
        <v>#REF!</v>
      </c>
      <c r="U48" s="72" t="e">
        <f>IF(AND('Mapa final'!#REF!="Muy Baja",'Mapa final'!#REF!="Menor"),CONCATENATE("R3C",'Mapa final'!#REF!),"")</f>
        <v>#REF!</v>
      </c>
      <c r="V48" s="61" t="str">
        <f>IF(AND('Mapa final'!$AG$18="Muy Baja",'Mapa final'!$AI$18="Moderado"),CONCATENATE("R3C",'Mapa final'!$W$18),"")</f>
        <v/>
      </c>
      <c r="W48" s="62" t="str">
        <f>IF(AND('Mapa final'!$AG$19="Muy Baja",'Mapa final'!$AI$19="Moderado"),CONCATENATE("R3C",'Mapa final'!$W$19),"")</f>
        <v/>
      </c>
      <c r="X48" s="62" t="str">
        <f>IF(AND('Mapa final'!$AG$20="Muy Baja",'Mapa final'!$AI$20="Moderado"),CONCATENATE("R3C",'Mapa final'!$W$20),"")</f>
        <v/>
      </c>
      <c r="Y48" s="62" t="str">
        <f>IF(AND('Mapa final'!$AG$21="Muy Baja",'Mapa final'!$AI$21="Moderado"),CONCATENATE("R3C",'Mapa final'!$W$21),"")</f>
        <v/>
      </c>
      <c r="Z48" s="62" t="e">
        <f>IF(AND('Mapa final'!#REF!="Muy Baja",'Mapa final'!#REF!="Moderado"),CONCATENATE("R3C",'Mapa final'!#REF!),"")</f>
        <v>#REF!</v>
      </c>
      <c r="AA48" s="63" t="e">
        <f>IF(AND('Mapa final'!#REF!="Muy Baja",'Mapa final'!#REF!="Moderado"),CONCATENATE("R3C",'Mapa final'!#REF!),"")</f>
        <v>#REF!</v>
      </c>
      <c r="AB48" s="46" t="str">
        <f>IF(AND('Mapa final'!$AG$18="Muy Baja",'Mapa final'!$AI$18="Mayor"),CONCATENATE("R3C",'Mapa final'!$W$18),"")</f>
        <v/>
      </c>
      <c r="AC48" s="47" t="str">
        <f>IF(AND('Mapa final'!$AG$19="Muy Baja",'Mapa final'!$AI$19="Mayor"),CONCATENATE("R3C",'Mapa final'!$W$19),"")</f>
        <v/>
      </c>
      <c r="AD48" s="47" t="str">
        <f>IF(AND('Mapa final'!$AG$20="Muy Baja",'Mapa final'!$AI$20="Mayor"),CONCATENATE("R3C",'Mapa final'!$W$20),"")</f>
        <v/>
      </c>
      <c r="AE48" s="47" t="str">
        <f>IF(AND('Mapa final'!$AG$21="Muy Baja",'Mapa final'!$AI$21="Mayor"),CONCATENATE("R3C",'Mapa final'!$W$21),"")</f>
        <v/>
      </c>
      <c r="AF48" s="47" t="e">
        <f>IF(AND('Mapa final'!#REF!="Muy Baja",'Mapa final'!#REF!="Mayor"),CONCATENATE("R3C",'Mapa final'!#REF!),"")</f>
        <v>#REF!</v>
      </c>
      <c r="AG48" s="48" t="e">
        <f>IF(AND('Mapa final'!#REF!="Muy Baja",'Mapa final'!#REF!="Mayor"),CONCATENATE("R3C",'Mapa final'!#REF!),"")</f>
        <v>#REF!</v>
      </c>
      <c r="AH48" s="49" t="str">
        <f>IF(AND('Mapa final'!$AG$18="Muy Baja",'Mapa final'!$AI$18="Catastrófico"),CONCATENATE("R3C",'Mapa final'!$W$18),"")</f>
        <v/>
      </c>
      <c r="AI48" s="50" t="str">
        <f>IF(AND('Mapa final'!$AG$19="Muy Baja",'Mapa final'!$AI$19="Catastrófico"),CONCATENATE("R3C",'Mapa final'!$W$19),"")</f>
        <v/>
      </c>
      <c r="AJ48" s="50" t="str">
        <f>IF(AND('Mapa final'!$AG$20="Muy Baja",'Mapa final'!$AI$20="Catastrófico"),CONCATENATE("R3C",'Mapa final'!$W$20),"")</f>
        <v/>
      </c>
      <c r="AK48" s="50" t="str">
        <f>IF(AND('Mapa final'!$AG$21="Muy Baja",'Mapa final'!$AI$21="Catastrófico"),CONCATENATE("R3C",'Mapa final'!$W$21),"")</f>
        <v/>
      </c>
      <c r="AL48" s="50" t="e">
        <f>IF(AND('Mapa final'!#REF!="Muy Baja",'Mapa final'!#REF!="Catastrófico"),CONCATENATE("R3C",'Mapa final'!#REF!),"")</f>
        <v>#REF!</v>
      </c>
      <c r="AM48" s="51" t="e">
        <f>IF(AND('Mapa final'!#REF!="Muy Baja",'Mapa final'!#REF!="Catastrófico"),CONCATENATE("R3C",'Mapa final'!#REF!),"")</f>
        <v>#REF!</v>
      </c>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row>
    <row r="49" spans="1:80" ht="15" customHeight="1" x14ac:dyDescent="0.25">
      <c r="A49" s="77"/>
      <c r="B49" s="731"/>
      <c r="C49" s="731"/>
      <c r="D49" s="732"/>
      <c r="E49" s="772"/>
      <c r="F49" s="773"/>
      <c r="G49" s="773"/>
      <c r="H49" s="773"/>
      <c r="I49" s="774"/>
      <c r="J49" s="70" t="e">
        <f>IF(AND('Mapa final'!#REF!="Muy Baja",'Mapa final'!#REF!="Leve"),CONCATENATE("R4C",'Mapa final'!#REF!),"")</f>
        <v>#REF!</v>
      </c>
      <c r="K49" s="71" t="str">
        <f>IF(AND('Mapa final'!$AG$22="Muy Baja",'Mapa final'!$AI$22="Leve"),CONCATENATE("R4C",'Mapa final'!$W$22),"")</f>
        <v/>
      </c>
      <c r="L49" s="71" t="str">
        <f>IF(AND('Mapa final'!$AG$23="Muy Baja",'Mapa final'!$AI$23="Leve"),CONCATENATE("R4C",'Mapa final'!$W$23),"")</f>
        <v/>
      </c>
      <c r="M49" s="71" t="str">
        <f>IF(AND('Mapa final'!$AG$24="Muy Baja",'Mapa final'!$AI$24="Leve"),CONCATENATE("R4C",'Mapa final'!$W$24),"")</f>
        <v/>
      </c>
      <c r="N49" s="71" t="e">
        <f>IF(AND('Mapa final'!#REF!="Muy Baja",'Mapa final'!#REF!="Leve"),CONCATENATE("R4C",'Mapa final'!#REF!),"")</f>
        <v>#REF!</v>
      </c>
      <c r="O49" s="72" t="str">
        <f>IF(AND('Mapa final'!$AG$25="Muy Baja",'Mapa final'!$AI$25="Leve"),CONCATENATE("R4C",'Mapa final'!$W$25),"")</f>
        <v/>
      </c>
      <c r="P49" s="70" t="e">
        <f>IF(AND('Mapa final'!#REF!="Muy Baja",'Mapa final'!#REF!="Menor"),CONCATENATE("R4C",'Mapa final'!#REF!),"")</f>
        <v>#REF!</v>
      </c>
      <c r="Q49" s="71" t="str">
        <f>IF(AND('Mapa final'!$AG$22="Muy Baja",'Mapa final'!$AI$22="Menor"),CONCATENATE("R4C",'Mapa final'!$W$22),"")</f>
        <v/>
      </c>
      <c r="R49" s="71" t="str">
        <f>IF(AND('Mapa final'!$AG$23="Muy Baja",'Mapa final'!$AI$23="Menor"),CONCATENATE("R4C",'Mapa final'!$W$23),"")</f>
        <v/>
      </c>
      <c r="S49" s="71" t="str">
        <f>IF(AND('Mapa final'!$AG$24="Muy Baja",'Mapa final'!$AI$24="Menor"),CONCATENATE("R4C",'Mapa final'!$W$24),"")</f>
        <v/>
      </c>
      <c r="T49" s="71" t="e">
        <f>IF(AND('Mapa final'!#REF!="Muy Baja",'Mapa final'!#REF!="Menor"),CONCATENATE("R4C",'Mapa final'!#REF!),"")</f>
        <v>#REF!</v>
      </c>
      <c r="U49" s="72" t="str">
        <f>IF(AND('Mapa final'!$AG$25="Muy Baja",'Mapa final'!$AI$25="Menor"),CONCATENATE("R4C",'Mapa final'!$W$25),"")</f>
        <v/>
      </c>
      <c r="V49" s="61" t="e">
        <f>IF(AND('Mapa final'!#REF!="Muy Baja",'Mapa final'!#REF!="Moderado"),CONCATENATE("R4C",'Mapa final'!#REF!),"")</f>
        <v>#REF!</v>
      </c>
      <c r="W49" s="62" t="str">
        <f>IF(AND('Mapa final'!$AG$22="Muy Baja",'Mapa final'!$AI$22="Moderado"),CONCATENATE("R4C",'Mapa final'!$W$22),"")</f>
        <v/>
      </c>
      <c r="X49" s="62" t="str">
        <f>IF(AND('Mapa final'!$AG$23="Muy Baja",'Mapa final'!$AI$23="Moderado"),CONCATENATE("R4C",'Mapa final'!$W$23),"")</f>
        <v/>
      </c>
      <c r="Y49" s="62" t="str">
        <f>IF(AND('Mapa final'!$AG$24="Muy Baja",'Mapa final'!$AI$24="Moderado"),CONCATENATE("R4C",'Mapa final'!$W$24),"")</f>
        <v/>
      </c>
      <c r="Z49" s="62" t="e">
        <f>IF(AND('Mapa final'!#REF!="Muy Baja",'Mapa final'!#REF!="Moderado"),CONCATENATE("R4C",'Mapa final'!#REF!),"")</f>
        <v>#REF!</v>
      </c>
      <c r="AA49" s="63" t="str">
        <f>IF(AND('Mapa final'!$AG$25="Muy Baja",'Mapa final'!$AI$25="Moderado"),CONCATENATE("R4C",'Mapa final'!$W$25),"")</f>
        <v/>
      </c>
      <c r="AB49" s="46" t="e">
        <f>IF(AND('Mapa final'!#REF!="Muy Baja",'Mapa final'!#REF!="Mayor"),CONCATENATE("R4C",'Mapa final'!#REF!),"")</f>
        <v>#REF!</v>
      </c>
      <c r="AC49" s="47" t="str">
        <f>IF(AND('Mapa final'!$AG$22="Muy Baja",'Mapa final'!$AI$22="Mayor"),CONCATENATE("R4C",'Mapa final'!$W$22),"")</f>
        <v/>
      </c>
      <c r="AD49" s="47" t="str">
        <f>IF(AND('Mapa final'!$AG$23="Muy Baja",'Mapa final'!$AI$23="Mayor"),CONCATENATE("R4C",'Mapa final'!$W$23),"")</f>
        <v/>
      </c>
      <c r="AE49" s="47" t="str">
        <f>IF(AND('Mapa final'!$AG$24="Muy Baja",'Mapa final'!$AI$24="Mayor"),CONCATENATE("R4C",'Mapa final'!$W$24),"")</f>
        <v/>
      </c>
      <c r="AF49" s="47" t="e">
        <f>IF(AND('Mapa final'!#REF!="Muy Baja",'Mapa final'!#REF!="Mayor"),CONCATENATE("R4C",'Mapa final'!#REF!),"")</f>
        <v>#REF!</v>
      </c>
      <c r="AG49" s="48" t="str">
        <f>IF(AND('Mapa final'!$AG$25="Muy Baja",'Mapa final'!$AI$25="Mayor"),CONCATENATE("R4C",'Mapa final'!$W$25),"")</f>
        <v/>
      </c>
      <c r="AH49" s="49" t="e">
        <f>IF(AND('Mapa final'!#REF!="Muy Baja",'Mapa final'!#REF!="Catastrófico"),CONCATENATE("R4C",'Mapa final'!#REF!),"")</f>
        <v>#REF!</v>
      </c>
      <c r="AI49" s="50" t="str">
        <f>IF(AND('Mapa final'!$AG$22="Muy Baja",'Mapa final'!$AI$22="Catastrófico"),CONCATENATE("R4C",'Mapa final'!$W$22),"")</f>
        <v/>
      </c>
      <c r="AJ49" s="50" t="str">
        <f>IF(AND('Mapa final'!$AG$23="Muy Baja",'Mapa final'!$AI$23="Catastrófico"),CONCATENATE("R4C",'Mapa final'!$W$23),"")</f>
        <v/>
      </c>
      <c r="AK49" s="50" t="str">
        <f>IF(AND('Mapa final'!$AG$24="Muy Baja",'Mapa final'!$AI$24="Catastrófico"),CONCATENATE("R4C",'Mapa final'!$W$24),"")</f>
        <v/>
      </c>
      <c r="AL49" s="50" t="e">
        <f>IF(AND('Mapa final'!#REF!="Muy Baja",'Mapa final'!#REF!="Catastrófico"),CONCATENATE("R4C",'Mapa final'!#REF!),"")</f>
        <v>#REF!</v>
      </c>
      <c r="AM49" s="51" t="str">
        <f>IF(AND('Mapa final'!$AG$25="Muy Baja",'Mapa final'!$AI$25="Catastrófico"),CONCATENATE("R4C",'Mapa final'!$W$25),"")</f>
        <v/>
      </c>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row>
    <row r="50" spans="1:80" ht="15" customHeight="1" x14ac:dyDescent="0.25">
      <c r="A50" s="77"/>
      <c r="B50" s="731"/>
      <c r="C50" s="731"/>
      <c r="D50" s="732"/>
      <c r="E50" s="772"/>
      <c r="F50" s="773"/>
      <c r="G50" s="773"/>
      <c r="H50" s="773"/>
      <c r="I50" s="774"/>
      <c r="J50" s="70" t="e">
        <f>IF(AND('Mapa final'!#REF!="Muy Baja",'Mapa final'!#REF!="Leve"),CONCATENATE("R5C",'Mapa final'!#REF!),"")</f>
        <v>#REF!</v>
      </c>
      <c r="K50" s="71" t="str">
        <f>IF(AND('Mapa final'!$AG$26="Muy Baja",'Mapa final'!$AI$26="Leve"),CONCATENATE("R5C",'Mapa final'!$W$26),"")</f>
        <v/>
      </c>
      <c r="L50" s="71" t="str">
        <f>IF(AND('Mapa final'!$AG$27="Muy Baja",'Mapa final'!$AI$27="Leve"),CONCATENATE("R5C",'Mapa final'!$W$27),"")</f>
        <v/>
      </c>
      <c r="M50" s="71" t="str">
        <f>IF(AND('Mapa final'!$AG$28="Muy Baja",'Mapa final'!$AI$28="Leve"),CONCATENATE("R5C",'Mapa final'!$W$28),"")</f>
        <v/>
      </c>
      <c r="N50" s="71" t="str">
        <f>IF(AND('Mapa final'!$AG$29="Muy Baja",'Mapa final'!$AI$29="Leve"),CONCATENATE("R5C",'Mapa final'!$W$29),"")</f>
        <v/>
      </c>
      <c r="O50" s="72" t="str">
        <f>IF(AND('Mapa final'!$AG$30="Muy Baja",'Mapa final'!$AI$30="Leve"),CONCATENATE("R5C",'Mapa final'!$W$30),"")</f>
        <v/>
      </c>
      <c r="P50" s="70" t="e">
        <f>IF(AND('Mapa final'!#REF!="Muy Baja",'Mapa final'!#REF!="Menor"),CONCATENATE("R5C",'Mapa final'!#REF!),"")</f>
        <v>#REF!</v>
      </c>
      <c r="Q50" s="71" t="str">
        <f>IF(AND('Mapa final'!$AG$26="Muy Baja",'Mapa final'!$AI$26="Menor"),CONCATENATE("R5C",'Mapa final'!$W$26),"")</f>
        <v/>
      </c>
      <c r="R50" s="71" t="str">
        <f>IF(AND('Mapa final'!$AG$27="Muy Baja",'Mapa final'!$AI$27="Menor"),CONCATENATE("R5C",'Mapa final'!$W$27),"")</f>
        <v/>
      </c>
      <c r="S50" s="71" t="str">
        <f>IF(AND('Mapa final'!$AG$28="Muy Baja",'Mapa final'!$AI$28="Menor"),CONCATENATE("R5C",'Mapa final'!$W$28),"")</f>
        <v/>
      </c>
      <c r="T50" s="71" t="str">
        <f>IF(AND('Mapa final'!$AG$29="Muy Baja",'Mapa final'!$AI$29="Menor"),CONCATENATE("R5C",'Mapa final'!$W$29),"")</f>
        <v/>
      </c>
      <c r="U50" s="72" t="str">
        <f>IF(AND('Mapa final'!$AG$30="Muy Baja",'Mapa final'!$AI$30="Menor"),CONCATENATE("R5C",'Mapa final'!$W$30),"")</f>
        <v/>
      </c>
      <c r="V50" s="61" t="e">
        <f>IF(AND('Mapa final'!#REF!="Muy Baja",'Mapa final'!#REF!="Moderado"),CONCATENATE("R5C",'Mapa final'!#REF!),"")</f>
        <v>#REF!</v>
      </c>
      <c r="W50" s="62" t="str">
        <f>IF(AND('Mapa final'!$AG$26="Muy Baja",'Mapa final'!$AI$26="Moderado"),CONCATENATE("R5C",'Mapa final'!$W$26),"")</f>
        <v>R5CC8</v>
      </c>
      <c r="X50" s="62" t="str">
        <f>IF(AND('Mapa final'!$AG$27="Muy Baja",'Mapa final'!$AI$27="Moderado"),CONCATENATE("R5C",'Mapa final'!$W$27),"")</f>
        <v>R5CC3</v>
      </c>
      <c r="Y50" s="62" t="str">
        <f>IF(AND('Mapa final'!$AG$28="Muy Baja",'Mapa final'!$AI$28="Moderado"),CONCATENATE("R5C",'Mapa final'!$W$28),"")</f>
        <v/>
      </c>
      <c r="Z50" s="62" t="str">
        <f>IF(AND('Mapa final'!$AG$29="Muy Baja",'Mapa final'!$AI$29="Moderado"),CONCATENATE("R5C",'Mapa final'!$W$29),"")</f>
        <v/>
      </c>
      <c r="AA50" s="63" t="str">
        <f>IF(AND('Mapa final'!$AG$30="Muy Baja",'Mapa final'!$AI$30="Moderado"),CONCATENATE("R5C",'Mapa final'!$W$30),"")</f>
        <v/>
      </c>
      <c r="AB50" s="46" t="e">
        <f>IF(AND('Mapa final'!#REF!="Muy Baja",'Mapa final'!#REF!="Mayor"),CONCATENATE("R5C",'Mapa final'!#REF!),"")</f>
        <v>#REF!</v>
      </c>
      <c r="AC50" s="47" t="str">
        <f>IF(AND('Mapa final'!$AG$26="Muy Baja",'Mapa final'!$AI$26="Mayor"),CONCATENATE("R5C",'Mapa final'!$W$26),"")</f>
        <v/>
      </c>
      <c r="AD50" s="47" t="str">
        <f>IF(AND('Mapa final'!$AG$27="Muy Baja",'Mapa final'!$AI$27="Mayor"),CONCATENATE("R5C",'Mapa final'!$W$27),"")</f>
        <v/>
      </c>
      <c r="AE50" s="47" t="str">
        <f>IF(AND('Mapa final'!$AG$28="Muy Baja",'Mapa final'!$AI$28="Mayor"),CONCATENATE("R5C",'Mapa final'!$W$28),"")</f>
        <v/>
      </c>
      <c r="AF50" s="47" t="str">
        <f>IF(AND('Mapa final'!$AG$29="Muy Baja",'Mapa final'!$AI$29="Mayor"),CONCATENATE("R5C",'Mapa final'!$W$29),"")</f>
        <v/>
      </c>
      <c r="AG50" s="48" t="str">
        <f>IF(AND('Mapa final'!$AG$30="Muy Baja",'Mapa final'!$AI$30="Mayor"),CONCATENATE("R5C",'Mapa final'!$W$30),"")</f>
        <v/>
      </c>
      <c r="AH50" s="49" t="e">
        <f>IF(AND('Mapa final'!#REF!="Muy Baja",'Mapa final'!#REF!="Catastrófico"),CONCATENATE("R5C",'Mapa final'!#REF!),"")</f>
        <v>#REF!</v>
      </c>
      <c r="AI50" s="50" t="str">
        <f>IF(AND('Mapa final'!$AG$26="Muy Baja",'Mapa final'!$AI$26="Catastrófico"),CONCATENATE("R5C",'Mapa final'!$W$26),"")</f>
        <v/>
      </c>
      <c r="AJ50" s="50" t="str">
        <f>IF(AND('Mapa final'!$AG$27="Muy Baja",'Mapa final'!$AI$27="Catastrófico"),CONCATENATE("R5C",'Mapa final'!$W$27),"")</f>
        <v/>
      </c>
      <c r="AK50" s="50" t="str">
        <f>IF(AND('Mapa final'!$AG$28="Muy Baja",'Mapa final'!$AI$28="Catastrófico"),CONCATENATE("R5C",'Mapa final'!$W$28),"")</f>
        <v/>
      </c>
      <c r="AL50" s="50" t="str">
        <f>IF(AND('Mapa final'!$AG$29="Muy Baja",'Mapa final'!$AI$29="Catastrófico"),CONCATENATE("R5C",'Mapa final'!$W$29),"")</f>
        <v/>
      </c>
      <c r="AM50" s="51" t="str">
        <f>IF(AND('Mapa final'!$AG$30="Muy Baja",'Mapa final'!$AI$30="Catastrófico"),CONCATENATE("R5C",'Mapa final'!$W$30),"")</f>
        <v/>
      </c>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row>
    <row r="51" spans="1:80" ht="15" customHeight="1" x14ac:dyDescent="0.25">
      <c r="A51" s="77"/>
      <c r="B51" s="731"/>
      <c r="C51" s="731"/>
      <c r="D51" s="732"/>
      <c r="E51" s="772"/>
      <c r="F51" s="773"/>
      <c r="G51" s="773"/>
      <c r="H51" s="773"/>
      <c r="I51" s="774"/>
      <c r="J51" s="70" t="str">
        <f>IF(AND('Mapa final'!$AG$31="Muy Baja",'Mapa final'!$AI$31="Leve"),CONCATENATE("R6C",'Mapa final'!$W$31),"")</f>
        <v/>
      </c>
      <c r="K51" s="71" t="str">
        <f>IF(AND('Mapa final'!$AG$32="Muy Baja",'Mapa final'!$AI$32="Leve"),CONCATENATE("R6C",'Mapa final'!$W$32),"")</f>
        <v/>
      </c>
      <c r="L51" s="71" t="str">
        <f>IF(AND('Mapa final'!$AG$33="Muy Baja",'Mapa final'!$AI$33="Leve"),CONCATENATE("R6C",'Mapa final'!$W$33),"")</f>
        <v/>
      </c>
      <c r="M51" s="71" t="e">
        <f>IF(AND('Mapa final'!#REF!="Muy Baja",'Mapa final'!#REF!="Leve"),CONCATENATE("R6C",'Mapa final'!#REF!),"")</f>
        <v>#REF!</v>
      </c>
      <c r="N51" s="71" t="e">
        <f>IF(AND('Mapa final'!#REF!="Muy Baja",'Mapa final'!#REF!="Leve"),CONCATENATE("R6C",'Mapa final'!#REF!),"")</f>
        <v>#REF!</v>
      </c>
      <c r="O51" s="72" t="e">
        <f>IF(AND('Mapa final'!#REF!="Muy Baja",'Mapa final'!#REF!="Leve"),CONCATENATE("R6C",'Mapa final'!#REF!),"")</f>
        <v>#REF!</v>
      </c>
      <c r="P51" s="70" t="str">
        <f>IF(AND('Mapa final'!$AG$31="Muy Baja",'Mapa final'!$AI$31="Menor"),CONCATENATE("R6C",'Mapa final'!$W$31),"")</f>
        <v/>
      </c>
      <c r="Q51" s="71" t="str">
        <f>IF(AND('Mapa final'!$AG$32="Muy Baja",'Mapa final'!$AI$32="Menor"),CONCATENATE("R6C",'Mapa final'!$W$32),"")</f>
        <v/>
      </c>
      <c r="R51" s="71" t="str">
        <f>IF(AND('Mapa final'!$AG$33="Muy Baja",'Mapa final'!$AI$33="Menor"),CONCATENATE("R6C",'Mapa final'!$W$33),"")</f>
        <v/>
      </c>
      <c r="S51" s="71" t="e">
        <f>IF(AND('Mapa final'!#REF!="Muy Baja",'Mapa final'!#REF!="Menor"),CONCATENATE("R6C",'Mapa final'!#REF!),"")</f>
        <v>#REF!</v>
      </c>
      <c r="T51" s="71" t="e">
        <f>IF(AND('Mapa final'!#REF!="Muy Baja",'Mapa final'!#REF!="Menor"),CONCATENATE("R6C",'Mapa final'!#REF!),"")</f>
        <v>#REF!</v>
      </c>
      <c r="U51" s="72" t="e">
        <f>IF(AND('Mapa final'!#REF!="Muy Baja",'Mapa final'!#REF!="Menor"),CONCATENATE("R6C",'Mapa final'!#REF!),"")</f>
        <v>#REF!</v>
      </c>
      <c r="V51" s="61" t="str">
        <f>IF(AND('Mapa final'!$AG$31="Muy Baja",'Mapa final'!$AI$31="Moderado"),CONCATENATE("R6C",'Mapa final'!$W$31),"")</f>
        <v/>
      </c>
      <c r="W51" s="62" t="str">
        <f>IF(AND('Mapa final'!$AG$32="Muy Baja",'Mapa final'!$AI$32="Moderado"),CONCATENATE("R6C",'Mapa final'!$W$32),"")</f>
        <v/>
      </c>
      <c r="X51" s="62" t="str">
        <f>IF(AND('Mapa final'!$AG$33="Muy Baja",'Mapa final'!$AI$33="Moderado"),CONCATENATE("R6C",'Mapa final'!$W$33),"")</f>
        <v>R6CC7</v>
      </c>
      <c r="Y51" s="62" t="e">
        <f>IF(AND('Mapa final'!#REF!="Muy Baja",'Mapa final'!#REF!="Moderado"),CONCATENATE("R6C",'Mapa final'!#REF!),"")</f>
        <v>#REF!</v>
      </c>
      <c r="Z51" s="62" t="e">
        <f>IF(AND('Mapa final'!#REF!="Muy Baja",'Mapa final'!#REF!="Moderado"),CONCATENATE("R6C",'Mapa final'!#REF!),"")</f>
        <v>#REF!</v>
      </c>
      <c r="AA51" s="63" t="e">
        <f>IF(AND('Mapa final'!#REF!="Muy Baja",'Mapa final'!#REF!="Moderado"),CONCATENATE("R6C",'Mapa final'!#REF!),"")</f>
        <v>#REF!</v>
      </c>
      <c r="AB51" s="46" t="str">
        <f>IF(AND('Mapa final'!$AG$31="Muy Baja",'Mapa final'!$AI$31="Mayor"),CONCATENATE("R6C",'Mapa final'!$W$31),"")</f>
        <v/>
      </c>
      <c r="AC51" s="47" t="str">
        <f>IF(AND('Mapa final'!$AG$32="Muy Baja",'Mapa final'!$AI$32="Mayor"),CONCATENATE("R6C",'Mapa final'!$W$32),"")</f>
        <v>R6CC2</v>
      </c>
      <c r="AD51" s="47" t="str">
        <f>IF(AND('Mapa final'!$AG$33="Muy Baja",'Mapa final'!$AI$33="Mayor"),CONCATENATE("R6C",'Mapa final'!$W$33),"")</f>
        <v/>
      </c>
      <c r="AE51" s="47" t="e">
        <f>IF(AND('Mapa final'!#REF!="Muy Baja",'Mapa final'!#REF!="Mayor"),CONCATENATE("R6C",'Mapa final'!#REF!),"")</f>
        <v>#REF!</v>
      </c>
      <c r="AF51" s="47" t="e">
        <f>IF(AND('Mapa final'!#REF!="Muy Baja",'Mapa final'!#REF!="Mayor"),CONCATENATE("R6C",'Mapa final'!#REF!),"")</f>
        <v>#REF!</v>
      </c>
      <c r="AG51" s="48" t="e">
        <f>IF(AND('Mapa final'!#REF!="Muy Baja",'Mapa final'!#REF!="Mayor"),CONCATENATE("R6C",'Mapa final'!#REF!),"")</f>
        <v>#REF!</v>
      </c>
      <c r="AH51" s="49" t="str">
        <f>IF(AND('Mapa final'!$AG$31="Muy Baja",'Mapa final'!$AI$31="Catastrófico"),CONCATENATE("R6C",'Mapa final'!$W$31),"")</f>
        <v>R6CC1</v>
      </c>
      <c r="AI51" s="50" t="str">
        <f>IF(AND('Mapa final'!$AG$32="Muy Baja",'Mapa final'!$AI$32="Catastrófico"),CONCATENATE("R6C",'Mapa final'!$W$32),"")</f>
        <v/>
      </c>
      <c r="AJ51" s="50" t="str">
        <f>IF(AND('Mapa final'!$AG$33="Muy Baja",'Mapa final'!$AI$33="Catastrófico"),CONCATENATE("R6C",'Mapa final'!$W$33),"")</f>
        <v/>
      </c>
      <c r="AK51" s="50" t="e">
        <f>IF(AND('Mapa final'!#REF!="Muy Baja",'Mapa final'!#REF!="Catastrófico"),CONCATENATE("R6C",'Mapa final'!#REF!),"")</f>
        <v>#REF!</v>
      </c>
      <c r="AL51" s="50" t="e">
        <f>IF(AND('Mapa final'!#REF!="Muy Baja",'Mapa final'!#REF!="Catastrófico"),CONCATENATE("R6C",'Mapa final'!#REF!),"")</f>
        <v>#REF!</v>
      </c>
      <c r="AM51" s="51" t="e">
        <f>IF(AND('Mapa final'!#REF!="Muy Baja",'Mapa final'!#REF!="Catastrófico"),CONCATENATE("R6C",'Mapa final'!#REF!),"")</f>
        <v>#REF!</v>
      </c>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row>
    <row r="52" spans="1:80" ht="15" customHeight="1" x14ac:dyDescent="0.25">
      <c r="A52" s="77"/>
      <c r="B52" s="731"/>
      <c r="C52" s="731"/>
      <c r="D52" s="732"/>
      <c r="E52" s="772"/>
      <c r="F52" s="773"/>
      <c r="G52" s="773"/>
      <c r="H52" s="773"/>
      <c r="I52" s="774"/>
      <c r="J52" s="70" t="e">
        <f>IF(AND('Mapa final'!#REF!="Muy Baja",'Mapa final'!#REF!="Leve"),CONCATENATE("R7C",'Mapa final'!#REF!),"")</f>
        <v>#REF!</v>
      </c>
      <c r="K52" s="71" t="e">
        <f>IF(AND('Mapa final'!#REF!="Muy Baja",'Mapa final'!#REF!="Leve"),CONCATENATE("R7C",'Mapa final'!#REF!),"")</f>
        <v>#REF!</v>
      </c>
      <c r="L52" s="71" t="e">
        <f>IF(AND('Mapa final'!#REF!="Muy Baja",'Mapa final'!#REF!="Leve"),CONCATENATE("R7C",'Mapa final'!#REF!),"")</f>
        <v>#REF!</v>
      </c>
      <c r="M52" s="71" t="str">
        <f>IF(AND('Mapa final'!$AG$36="Muy Baja",'Mapa final'!$AI$36="Leve"),CONCATENATE("R7C",'Mapa final'!$W$36),"")</f>
        <v/>
      </c>
      <c r="N52" s="71" t="e">
        <f>IF(AND('Mapa final'!#REF!="Muy Baja",'Mapa final'!#REF!="Leve"),CONCATENATE("R7C",'Mapa final'!#REF!),"")</f>
        <v>#REF!</v>
      </c>
      <c r="O52" s="72" t="e">
        <f>IF(AND('Mapa final'!#REF!="Muy Baja",'Mapa final'!#REF!="Leve"),CONCATENATE("R7C",'Mapa final'!#REF!),"")</f>
        <v>#REF!</v>
      </c>
      <c r="P52" s="70" t="e">
        <f>IF(AND('Mapa final'!#REF!="Muy Baja",'Mapa final'!#REF!="Menor"),CONCATENATE("R7C",'Mapa final'!#REF!),"")</f>
        <v>#REF!</v>
      </c>
      <c r="Q52" s="71" t="e">
        <f>IF(AND('Mapa final'!#REF!="Muy Baja",'Mapa final'!#REF!="Menor"),CONCATENATE("R7C",'Mapa final'!#REF!),"")</f>
        <v>#REF!</v>
      </c>
      <c r="R52" s="71" t="e">
        <f>IF(AND('Mapa final'!#REF!="Muy Baja",'Mapa final'!#REF!="Menor"),CONCATENATE("R7C",'Mapa final'!#REF!),"")</f>
        <v>#REF!</v>
      </c>
      <c r="S52" s="71" t="str">
        <f>IF(AND('Mapa final'!$AG$36="Muy Baja",'Mapa final'!$AI$36="Menor"),CONCATENATE("R7C",'Mapa final'!$W$36),"")</f>
        <v/>
      </c>
      <c r="T52" s="71" t="e">
        <f>IF(AND('Mapa final'!#REF!="Muy Baja",'Mapa final'!#REF!="Menor"),CONCATENATE("R7C",'Mapa final'!#REF!),"")</f>
        <v>#REF!</v>
      </c>
      <c r="U52" s="72" t="e">
        <f>IF(AND('Mapa final'!#REF!="Muy Baja",'Mapa final'!#REF!="Menor"),CONCATENATE("R7C",'Mapa final'!#REF!),"")</f>
        <v>#REF!</v>
      </c>
      <c r="V52" s="61" t="e">
        <f>IF(AND('Mapa final'!#REF!="Muy Baja",'Mapa final'!#REF!="Moderado"),CONCATENATE("R7C",'Mapa final'!#REF!),"")</f>
        <v>#REF!</v>
      </c>
      <c r="W52" s="62" t="e">
        <f>IF(AND('Mapa final'!#REF!="Muy Baja",'Mapa final'!#REF!="Moderado"),CONCATENATE("R7C",'Mapa final'!#REF!),"")</f>
        <v>#REF!</v>
      </c>
      <c r="X52" s="62" t="e">
        <f>IF(AND('Mapa final'!#REF!="Muy Baja",'Mapa final'!#REF!="Moderado"),CONCATENATE("R7C",'Mapa final'!#REF!),"")</f>
        <v>#REF!</v>
      </c>
      <c r="Y52" s="62" t="str">
        <f>IF(AND('Mapa final'!$AG$36="Muy Baja",'Mapa final'!$AI$36="Moderado"),CONCATENATE("R7C",'Mapa final'!$W$36),"")</f>
        <v>R7CC9</v>
      </c>
      <c r="Z52" s="62" t="e">
        <f>IF(AND('Mapa final'!#REF!="Muy Baja",'Mapa final'!#REF!="Moderado"),CONCATENATE("R7C",'Mapa final'!#REF!),"")</f>
        <v>#REF!</v>
      </c>
      <c r="AA52" s="63" t="e">
        <f>IF(AND('Mapa final'!#REF!="Muy Baja",'Mapa final'!#REF!="Moderado"),CONCATENATE("R7C",'Mapa final'!#REF!),"")</f>
        <v>#REF!</v>
      </c>
      <c r="AB52" s="46" t="e">
        <f>IF(AND('Mapa final'!#REF!="Muy Baja",'Mapa final'!#REF!="Mayor"),CONCATENATE("R7C",'Mapa final'!#REF!),"")</f>
        <v>#REF!</v>
      </c>
      <c r="AC52" s="47" t="e">
        <f>IF(AND('Mapa final'!#REF!="Muy Baja",'Mapa final'!#REF!="Mayor"),CONCATENATE("R7C",'Mapa final'!#REF!),"")</f>
        <v>#REF!</v>
      </c>
      <c r="AD52" s="47" t="e">
        <f>IF(AND('Mapa final'!#REF!="Muy Baja",'Mapa final'!#REF!="Mayor"),CONCATENATE("R7C",'Mapa final'!#REF!),"")</f>
        <v>#REF!</v>
      </c>
      <c r="AE52" s="47" t="str">
        <f>IF(AND('Mapa final'!$AG$36="Muy Baja",'Mapa final'!$AI$36="Mayor"),CONCATENATE("R7C",'Mapa final'!$W$36),"")</f>
        <v/>
      </c>
      <c r="AF52" s="47" t="e">
        <f>IF(AND('Mapa final'!#REF!="Muy Baja",'Mapa final'!#REF!="Mayor"),CONCATENATE("R7C",'Mapa final'!#REF!),"")</f>
        <v>#REF!</v>
      </c>
      <c r="AG52" s="48" t="e">
        <f>IF(AND('Mapa final'!#REF!="Muy Baja",'Mapa final'!#REF!="Mayor"),CONCATENATE("R7C",'Mapa final'!#REF!),"")</f>
        <v>#REF!</v>
      </c>
      <c r="AH52" s="49" t="e">
        <f>IF(AND('Mapa final'!#REF!="Muy Baja",'Mapa final'!#REF!="Catastrófico"),CONCATENATE("R7C",'Mapa final'!#REF!),"")</f>
        <v>#REF!</v>
      </c>
      <c r="AI52" s="50" t="e">
        <f>IF(AND('Mapa final'!#REF!="Muy Baja",'Mapa final'!#REF!="Catastrófico"),CONCATENATE("R7C",'Mapa final'!#REF!),"")</f>
        <v>#REF!</v>
      </c>
      <c r="AJ52" s="50" t="e">
        <f>IF(AND('Mapa final'!#REF!="Muy Baja",'Mapa final'!#REF!="Catastrófico"),CONCATENATE("R7C",'Mapa final'!#REF!),"")</f>
        <v>#REF!</v>
      </c>
      <c r="AK52" s="50" t="str">
        <f>IF(AND('Mapa final'!$AG$36="Muy Baja",'Mapa final'!$AI$36="Catastrófico"),CONCATENATE("R7C",'Mapa final'!$W$36),"")</f>
        <v/>
      </c>
      <c r="AL52" s="50" t="e">
        <f>IF(AND('Mapa final'!#REF!="Muy Baja",'Mapa final'!#REF!="Catastrófico"),CONCATENATE("R7C",'Mapa final'!#REF!),"")</f>
        <v>#REF!</v>
      </c>
      <c r="AM52" s="51" t="e">
        <f>IF(AND('Mapa final'!#REF!="Muy Baja",'Mapa final'!#REF!="Catastrófico"),CONCATENATE("R7C",'Mapa final'!#REF!),"")</f>
        <v>#REF!</v>
      </c>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row>
    <row r="53" spans="1:80" ht="15" customHeight="1" x14ac:dyDescent="0.25">
      <c r="A53" s="77"/>
      <c r="B53" s="731"/>
      <c r="C53" s="731"/>
      <c r="D53" s="732"/>
      <c r="E53" s="772"/>
      <c r="F53" s="773"/>
      <c r="G53" s="773"/>
      <c r="H53" s="773"/>
      <c r="I53" s="774"/>
      <c r="J53" s="70" t="e">
        <f>IF(AND('Mapa final'!#REF!="Muy Baja",'Mapa final'!#REF!="Leve"),CONCATENATE("R8C",'Mapa final'!#REF!),"")</f>
        <v>#REF!</v>
      </c>
      <c r="K53" s="71" t="e">
        <f>IF(AND('Mapa final'!#REF!="Muy Baja",'Mapa final'!#REF!="Leve"),CONCATENATE("R8C",'Mapa final'!#REF!),"")</f>
        <v>#REF!</v>
      </c>
      <c r="L53" s="71" t="e">
        <f>IF(AND('Mapa final'!#REF!="Muy Baja",'Mapa final'!#REF!="Leve"),CONCATENATE("R8C",'Mapa final'!#REF!),"")</f>
        <v>#REF!</v>
      </c>
      <c r="M53" s="71" t="e">
        <f>IF(AND('Mapa final'!#REF!="Muy Baja",'Mapa final'!#REF!="Leve"),CONCATENATE("R8C",'Mapa final'!#REF!),"")</f>
        <v>#REF!</v>
      </c>
      <c r="N53" s="71" t="e">
        <f>IF(AND('Mapa final'!#REF!="Muy Baja",'Mapa final'!#REF!="Leve"),CONCATENATE("R8C",'Mapa final'!#REF!),"")</f>
        <v>#REF!</v>
      </c>
      <c r="O53" s="72" t="e">
        <f>IF(AND('Mapa final'!#REF!="Muy Baja",'Mapa final'!#REF!="Leve"),CONCATENATE("R8C",'Mapa final'!#REF!),"")</f>
        <v>#REF!</v>
      </c>
      <c r="P53" s="70" t="e">
        <f>IF(AND('Mapa final'!#REF!="Muy Baja",'Mapa final'!#REF!="Menor"),CONCATENATE("R8C",'Mapa final'!#REF!),"")</f>
        <v>#REF!</v>
      </c>
      <c r="Q53" s="71" t="e">
        <f>IF(AND('Mapa final'!#REF!="Muy Baja",'Mapa final'!#REF!="Menor"),CONCATENATE("R8C",'Mapa final'!#REF!),"")</f>
        <v>#REF!</v>
      </c>
      <c r="R53" s="71" t="e">
        <f>IF(AND('Mapa final'!#REF!="Muy Baja",'Mapa final'!#REF!="Menor"),CONCATENATE("R8C",'Mapa final'!#REF!),"")</f>
        <v>#REF!</v>
      </c>
      <c r="S53" s="71" t="e">
        <f>IF(AND('Mapa final'!#REF!="Muy Baja",'Mapa final'!#REF!="Menor"),CONCATENATE("R8C",'Mapa final'!#REF!),"")</f>
        <v>#REF!</v>
      </c>
      <c r="T53" s="71" t="e">
        <f>IF(AND('Mapa final'!#REF!="Muy Baja",'Mapa final'!#REF!="Menor"),CONCATENATE("R8C",'Mapa final'!#REF!),"")</f>
        <v>#REF!</v>
      </c>
      <c r="U53" s="72" t="e">
        <f>IF(AND('Mapa final'!#REF!="Muy Baja",'Mapa final'!#REF!="Menor"),CONCATENATE("R8C",'Mapa final'!#REF!),"")</f>
        <v>#REF!</v>
      </c>
      <c r="V53" s="61" t="e">
        <f>IF(AND('Mapa final'!#REF!="Muy Baja",'Mapa final'!#REF!="Moderado"),CONCATENATE("R8C",'Mapa final'!#REF!),"")</f>
        <v>#REF!</v>
      </c>
      <c r="W53" s="62" t="e">
        <f>IF(AND('Mapa final'!#REF!="Muy Baja",'Mapa final'!#REF!="Moderado"),CONCATENATE("R8C",'Mapa final'!#REF!),"")</f>
        <v>#REF!</v>
      </c>
      <c r="X53" s="62" t="e">
        <f>IF(AND('Mapa final'!#REF!="Muy Baja",'Mapa final'!#REF!="Moderado"),CONCATENATE("R8C",'Mapa final'!#REF!),"")</f>
        <v>#REF!</v>
      </c>
      <c r="Y53" s="62" t="e">
        <f>IF(AND('Mapa final'!#REF!="Muy Baja",'Mapa final'!#REF!="Moderado"),CONCATENATE("R8C",'Mapa final'!#REF!),"")</f>
        <v>#REF!</v>
      </c>
      <c r="Z53" s="62" t="e">
        <f>IF(AND('Mapa final'!#REF!="Muy Baja",'Mapa final'!#REF!="Moderado"),CONCATENATE("R8C",'Mapa final'!#REF!),"")</f>
        <v>#REF!</v>
      </c>
      <c r="AA53" s="63" t="e">
        <f>IF(AND('Mapa final'!#REF!="Muy Baja",'Mapa final'!#REF!="Moderado"),CONCATENATE("R8C",'Mapa final'!#REF!),"")</f>
        <v>#REF!</v>
      </c>
      <c r="AB53" s="46" t="e">
        <f>IF(AND('Mapa final'!#REF!="Muy Baja",'Mapa final'!#REF!="Mayor"),CONCATENATE("R8C",'Mapa final'!#REF!),"")</f>
        <v>#REF!</v>
      </c>
      <c r="AC53" s="47" t="e">
        <f>IF(AND('Mapa final'!#REF!="Muy Baja",'Mapa final'!#REF!="Mayor"),CONCATENATE("R8C",'Mapa final'!#REF!),"")</f>
        <v>#REF!</v>
      </c>
      <c r="AD53" s="47" t="e">
        <f>IF(AND('Mapa final'!#REF!="Muy Baja",'Mapa final'!#REF!="Mayor"),CONCATENATE("R8C",'Mapa final'!#REF!),"")</f>
        <v>#REF!</v>
      </c>
      <c r="AE53" s="47" t="e">
        <f>IF(AND('Mapa final'!#REF!="Muy Baja",'Mapa final'!#REF!="Mayor"),CONCATENATE("R8C",'Mapa final'!#REF!),"")</f>
        <v>#REF!</v>
      </c>
      <c r="AF53" s="47" t="e">
        <f>IF(AND('Mapa final'!#REF!="Muy Baja",'Mapa final'!#REF!="Mayor"),CONCATENATE("R8C",'Mapa final'!#REF!),"")</f>
        <v>#REF!</v>
      </c>
      <c r="AG53" s="48" t="e">
        <f>IF(AND('Mapa final'!#REF!="Muy Baja",'Mapa final'!#REF!="Mayor"),CONCATENATE("R8C",'Mapa final'!#REF!),"")</f>
        <v>#REF!</v>
      </c>
      <c r="AH53" s="49" t="e">
        <f>IF(AND('Mapa final'!#REF!="Muy Baja",'Mapa final'!#REF!="Catastrófico"),CONCATENATE("R8C",'Mapa final'!#REF!),"")</f>
        <v>#REF!</v>
      </c>
      <c r="AI53" s="50" t="e">
        <f>IF(AND('Mapa final'!#REF!="Muy Baja",'Mapa final'!#REF!="Catastrófico"),CONCATENATE("R8C",'Mapa final'!#REF!),"")</f>
        <v>#REF!</v>
      </c>
      <c r="AJ53" s="50" t="e">
        <f>IF(AND('Mapa final'!#REF!="Muy Baja",'Mapa final'!#REF!="Catastrófico"),CONCATENATE("R8C",'Mapa final'!#REF!),"")</f>
        <v>#REF!</v>
      </c>
      <c r="AK53" s="50" t="e">
        <f>IF(AND('Mapa final'!#REF!="Muy Baja",'Mapa final'!#REF!="Catastrófico"),CONCATENATE("R8C",'Mapa final'!#REF!),"")</f>
        <v>#REF!</v>
      </c>
      <c r="AL53" s="50" t="e">
        <f>IF(AND('Mapa final'!#REF!="Muy Baja",'Mapa final'!#REF!="Catastrófico"),CONCATENATE("R8C",'Mapa final'!#REF!),"")</f>
        <v>#REF!</v>
      </c>
      <c r="AM53" s="51" t="e">
        <f>IF(AND('Mapa final'!#REF!="Muy Baja",'Mapa final'!#REF!="Catastrófico"),CONCATENATE("R8C",'Mapa final'!#REF!),"")</f>
        <v>#REF!</v>
      </c>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row>
    <row r="54" spans="1:80" ht="15" customHeight="1" x14ac:dyDescent="0.25">
      <c r="A54" s="77"/>
      <c r="B54" s="731"/>
      <c r="C54" s="731"/>
      <c r="D54" s="732"/>
      <c r="E54" s="772"/>
      <c r="F54" s="773"/>
      <c r="G54" s="773"/>
      <c r="H54" s="773"/>
      <c r="I54" s="774"/>
      <c r="J54" s="70" t="e">
        <f>IF(AND('Mapa final'!#REF!="Muy Baja",'Mapa final'!#REF!="Leve"),CONCATENATE("R9C",'Mapa final'!#REF!),"")</f>
        <v>#REF!</v>
      </c>
      <c r="K54" s="71" t="e">
        <f>IF(AND('Mapa final'!#REF!="Muy Baja",'Mapa final'!#REF!="Leve"),CONCATENATE("R9C",'Mapa final'!#REF!),"")</f>
        <v>#REF!</v>
      </c>
      <c r="L54" s="71" t="e">
        <f>IF(AND('Mapa final'!#REF!="Muy Baja",'Mapa final'!#REF!="Leve"),CONCATENATE("R9C",'Mapa final'!#REF!),"")</f>
        <v>#REF!</v>
      </c>
      <c r="M54" s="71" t="e">
        <f>IF(AND('Mapa final'!#REF!="Muy Baja",'Mapa final'!#REF!="Leve"),CONCATENATE("R9C",'Mapa final'!#REF!),"")</f>
        <v>#REF!</v>
      </c>
      <c r="N54" s="71" t="str">
        <f>IF(AND('Mapa final'!$AG$48="Muy Baja",'Mapa final'!$AI$48="Leve"),CONCATENATE("R9C",'Mapa final'!$W$48),"")</f>
        <v/>
      </c>
      <c r="O54" s="72" t="str">
        <f>IF(AND('Mapa final'!$AG$49="Muy Baja",'Mapa final'!$AI$49="Leve"),CONCATENATE("R9C",'Mapa final'!$W$49),"")</f>
        <v/>
      </c>
      <c r="P54" s="70" t="e">
        <f>IF(AND('Mapa final'!#REF!="Muy Baja",'Mapa final'!#REF!="Menor"),CONCATENATE("R9C",'Mapa final'!#REF!),"")</f>
        <v>#REF!</v>
      </c>
      <c r="Q54" s="71" t="e">
        <f>IF(AND('Mapa final'!#REF!="Muy Baja",'Mapa final'!#REF!="Menor"),CONCATENATE("R9C",'Mapa final'!#REF!),"")</f>
        <v>#REF!</v>
      </c>
      <c r="R54" s="71" t="e">
        <f>IF(AND('Mapa final'!#REF!="Muy Baja",'Mapa final'!#REF!="Menor"),CONCATENATE("R9C",'Mapa final'!#REF!),"")</f>
        <v>#REF!</v>
      </c>
      <c r="S54" s="71" t="e">
        <f>IF(AND('Mapa final'!#REF!="Muy Baja",'Mapa final'!#REF!="Menor"),CONCATENATE("R9C",'Mapa final'!#REF!),"")</f>
        <v>#REF!</v>
      </c>
      <c r="T54" s="71" t="str">
        <f>IF(AND('Mapa final'!$AG$48="Muy Baja",'Mapa final'!$AI$48="Menor"),CONCATENATE("R9C",'Mapa final'!$W$48),"")</f>
        <v/>
      </c>
      <c r="U54" s="72" t="str">
        <f>IF(AND('Mapa final'!$AG$49="Muy Baja",'Mapa final'!$AI$49="Menor"),CONCATENATE("R9C",'Mapa final'!$W$49),"")</f>
        <v/>
      </c>
      <c r="V54" s="61" t="e">
        <f>IF(AND('Mapa final'!#REF!="Muy Baja",'Mapa final'!#REF!="Moderado"),CONCATENATE("R9C",'Mapa final'!#REF!),"")</f>
        <v>#REF!</v>
      </c>
      <c r="W54" s="62" t="e">
        <f>IF(AND('Mapa final'!#REF!="Muy Baja",'Mapa final'!#REF!="Moderado"),CONCATENATE("R9C",'Mapa final'!#REF!),"")</f>
        <v>#REF!</v>
      </c>
      <c r="X54" s="62" t="e">
        <f>IF(AND('Mapa final'!#REF!="Muy Baja",'Mapa final'!#REF!="Moderado"),CONCATENATE("R9C",'Mapa final'!#REF!),"")</f>
        <v>#REF!</v>
      </c>
      <c r="Y54" s="62" t="e">
        <f>IF(AND('Mapa final'!#REF!="Muy Baja",'Mapa final'!#REF!="Moderado"),CONCATENATE("R9C",'Mapa final'!#REF!),"")</f>
        <v>#REF!</v>
      </c>
      <c r="Z54" s="62" t="str">
        <f>IF(AND('Mapa final'!$AG$48="Muy Baja",'Mapa final'!$AI$48="Moderado"),CONCATENATE("R9C",'Mapa final'!$W$48),"")</f>
        <v/>
      </c>
      <c r="AA54" s="63" t="str">
        <f>IF(AND('Mapa final'!$AG$49="Muy Baja",'Mapa final'!$AI$49="Moderado"),CONCATENATE("R9C",'Mapa final'!$W$49),"")</f>
        <v/>
      </c>
      <c r="AB54" s="46" t="e">
        <f>IF(AND('Mapa final'!#REF!="Muy Baja",'Mapa final'!#REF!="Mayor"),CONCATENATE("R9C",'Mapa final'!#REF!),"")</f>
        <v>#REF!</v>
      </c>
      <c r="AC54" s="47" t="e">
        <f>IF(AND('Mapa final'!#REF!="Muy Baja",'Mapa final'!#REF!="Mayor"),CONCATENATE("R9C",'Mapa final'!#REF!),"")</f>
        <v>#REF!</v>
      </c>
      <c r="AD54" s="47" t="e">
        <f>IF(AND('Mapa final'!#REF!="Muy Baja",'Mapa final'!#REF!="Mayor"),CONCATENATE("R9C",'Mapa final'!#REF!),"")</f>
        <v>#REF!</v>
      </c>
      <c r="AE54" s="47" t="e">
        <f>IF(AND('Mapa final'!#REF!="Muy Baja",'Mapa final'!#REF!="Mayor"),CONCATENATE("R9C",'Mapa final'!#REF!),"")</f>
        <v>#REF!</v>
      </c>
      <c r="AF54" s="47" t="str">
        <f>IF(AND('Mapa final'!$AG$48="Muy Baja",'Mapa final'!$AI$48="Mayor"),CONCATENATE("R9C",'Mapa final'!$W$48),"")</f>
        <v>R9CC1</v>
      </c>
      <c r="AG54" s="48" t="str">
        <f>IF(AND('Mapa final'!$AG$49="Muy Baja",'Mapa final'!$AI$49="Mayor"),CONCATENATE("R9C",'Mapa final'!$W$49),"")</f>
        <v>R9C</v>
      </c>
      <c r="AH54" s="49" t="e">
        <f>IF(AND('Mapa final'!#REF!="Muy Baja",'Mapa final'!#REF!="Catastrófico"),CONCATENATE("R9C",'Mapa final'!#REF!),"")</f>
        <v>#REF!</v>
      </c>
      <c r="AI54" s="50" t="e">
        <f>IF(AND('Mapa final'!#REF!="Muy Baja",'Mapa final'!#REF!="Catastrófico"),CONCATENATE("R9C",'Mapa final'!#REF!),"")</f>
        <v>#REF!</v>
      </c>
      <c r="AJ54" s="50" t="e">
        <f>IF(AND('Mapa final'!#REF!="Muy Baja",'Mapa final'!#REF!="Catastrófico"),CONCATENATE("R9C",'Mapa final'!#REF!),"")</f>
        <v>#REF!</v>
      </c>
      <c r="AK54" s="50" t="e">
        <f>IF(AND('Mapa final'!#REF!="Muy Baja",'Mapa final'!#REF!="Catastrófico"),CONCATENATE("R9C",'Mapa final'!#REF!),"")</f>
        <v>#REF!</v>
      </c>
      <c r="AL54" s="50" t="str">
        <f>IF(AND('Mapa final'!$AG$48="Muy Baja",'Mapa final'!$AI$48="Catastrófico"),CONCATENATE("R9C",'Mapa final'!$W$48),"")</f>
        <v/>
      </c>
      <c r="AM54" s="51" t="str">
        <f>IF(AND('Mapa final'!$AG$49="Muy Baja",'Mapa final'!$AI$49="Catastrófico"),CONCATENATE("R9C",'Mapa final'!$W$49),"")</f>
        <v/>
      </c>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row>
    <row r="55" spans="1:80" ht="15.75" customHeight="1" thickBot="1" x14ac:dyDescent="0.3">
      <c r="A55" s="77"/>
      <c r="B55" s="731"/>
      <c r="C55" s="731"/>
      <c r="D55" s="732"/>
      <c r="E55" s="775"/>
      <c r="F55" s="776"/>
      <c r="G55" s="776"/>
      <c r="H55" s="776"/>
      <c r="I55" s="777"/>
      <c r="J55" s="73" t="e">
        <f>IF(AND('Mapa final'!#REF!="Muy Baja",'Mapa final'!#REF!="Leve"),CONCATENATE("R10C",'Mapa final'!#REF!),"")</f>
        <v>#REF!</v>
      </c>
      <c r="K55" s="74" t="e">
        <f>IF(AND('Mapa final'!#REF!="Muy Baja",'Mapa final'!#REF!="Leve"),CONCATENATE("R10C",'Mapa final'!#REF!),"")</f>
        <v>#REF!</v>
      </c>
      <c r="L55" s="74" t="e">
        <f>IF(AND('Mapa final'!#REF!="Muy Baja",'Mapa final'!#REF!="Leve"),CONCATENATE("R10C",'Mapa final'!#REF!),"")</f>
        <v>#REF!</v>
      </c>
      <c r="M55" s="74" t="e">
        <f>IF(AND('Mapa final'!#REF!="Muy Baja",'Mapa final'!#REF!="Leve"),CONCATENATE("R10C",'Mapa final'!#REF!),"")</f>
        <v>#REF!</v>
      </c>
      <c r="N55" s="74" t="e">
        <f>IF(AND('Mapa final'!#REF!="Muy Baja",'Mapa final'!#REF!="Leve"),CONCATENATE("R10C",'Mapa final'!#REF!),"")</f>
        <v>#REF!</v>
      </c>
      <c r="O55" s="75" t="e">
        <f>IF(AND('Mapa final'!#REF!="Muy Baja",'Mapa final'!#REF!="Leve"),CONCATENATE("R10C",'Mapa final'!#REF!),"")</f>
        <v>#REF!</v>
      </c>
      <c r="P55" s="73" t="e">
        <f>IF(AND('Mapa final'!#REF!="Muy Baja",'Mapa final'!#REF!="Menor"),CONCATENATE("R10C",'Mapa final'!#REF!),"")</f>
        <v>#REF!</v>
      </c>
      <c r="Q55" s="74" t="e">
        <f>IF(AND('Mapa final'!#REF!="Muy Baja",'Mapa final'!#REF!="Menor"),CONCATENATE("R10C",'Mapa final'!#REF!),"")</f>
        <v>#REF!</v>
      </c>
      <c r="R55" s="74" t="e">
        <f>IF(AND('Mapa final'!#REF!="Muy Baja",'Mapa final'!#REF!="Menor"),CONCATENATE("R10C",'Mapa final'!#REF!),"")</f>
        <v>#REF!</v>
      </c>
      <c r="S55" s="74" t="e">
        <f>IF(AND('Mapa final'!#REF!="Muy Baja",'Mapa final'!#REF!="Menor"),CONCATENATE("R10C",'Mapa final'!#REF!),"")</f>
        <v>#REF!</v>
      </c>
      <c r="T55" s="74" t="e">
        <f>IF(AND('Mapa final'!#REF!="Muy Baja",'Mapa final'!#REF!="Menor"),CONCATENATE("R10C",'Mapa final'!#REF!),"")</f>
        <v>#REF!</v>
      </c>
      <c r="U55" s="75" t="e">
        <f>IF(AND('Mapa final'!#REF!="Muy Baja",'Mapa final'!#REF!="Menor"),CONCATENATE("R10C",'Mapa final'!#REF!),"")</f>
        <v>#REF!</v>
      </c>
      <c r="V55" s="64" t="e">
        <f>IF(AND('Mapa final'!#REF!="Muy Baja",'Mapa final'!#REF!="Moderado"),CONCATENATE("R10C",'Mapa final'!#REF!),"")</f>
        <v>#REF!</v>
      </c>
      <c r="W55" s="65" t="e">
        <f>IF(AND('Mapa final'!#REF!="Muy Baja",'Mapa final'!#REF!="Moderado"),CONCATENATE("R10C",'Mapa final'!#REF!),"")</f>
        <v>#REF!</v>
      </c>
      <c r="X55" s="65" t="e">
        <f>IF(AND('Mapa final'!#REF!="Muy Baja",'Mapa final'!#REF!="Moderado"),CONCATENATE("R10C",'Mapa final'!#REF!),"")</f>
        <v>#REF!</v>
      </c>
      <c r="Y55" s="65" t="e">
        <f>IF(AND('Mapa final'!#REF!="Muy Baja",'Mapa final'!#REF!="Moderado"),CONCATENATE("R10C",'Mapa final'!#REF!),"")</f>
        <v>#REF!</v>
      </c>
      <c r="Z55" s="65" t="e">
        <f>IF(AND('Mapa final'!#REF!="Muy Baja",'Mapa final'!#REF!="Moderado"),CONCATENATE("R10C",'Mapa final'!#REF!),"")</f>
        <v>#REF!</v>
      </c>
      <c r="AA55" s="66" t="e">
        <f>IF(AND('Mapa final'!#REF!="Muy Baja",'Mapa final'!#REF!="Moderado"),CONCATENATE("R10C",'Mapa final'!#REF!),"")</f>
        <v>#REF!</v>
      </c>
      <c r="AB55" s="52" t="e">
        <f>IF(AND('Mapa final'!#REF!="Muy Baja",'Mapa final'!#REF!="Mayor"),CONCATENATE("R10C",'Mapa final'!#REF!),"")</f>
        <v>#REF!</v>
      </c>
      <c r="AC55" s="53" t="e">
        <f>IF(AND('Mapa final'!#REF!="Muy Baja",'Mapa final'!#REF!="Mayor"),CONCATENATE("R10C",'Mapa final'!#REF!),"")</f>
        <v>#REF!</v>
      </c>
      <c r="AD55" s="53" t="e">
        <f>IF(AND('Mapa final'!#REF!="Muy Baja",'Mapa final'!#REF!="Mayor"),CONCATENATE("R10C",'Mapa final'!#REF!),"")</f>
        <v>#REF!</v>
      </c>
      <c r="AE55" s="53" t="e">
        <f>IF(AND('Mapa final'!#REF!="Muy Baja",'Mapa final'!#REF!="Mayor"),CONCATENATE("R10C",'Mapa final'!#REF!),"")</f>
        <v>#REF!</v>
      </c>
      <c r="AF55" s="53" t="e">
        <f>IF(AND('Mapa final'!#REF!="Muy Baja",'Mapa final'!#REF!="Mayor"),CONCATENATE("R10C",'Mapa final'!#REF!),"")</f>
        <v>#REF!</v>
      </c>
      <c r="AG55" s="54" t="e">
        <f>IF(AND('Mapa final'!#REF!="Muy Baja",'Mapa final'!#REF!="Mayor"),CONCATENATE("R10C",'Mapa final'!#REF!),"")</f>
        <v>#REF!</v>
      </c>
      <c r="AH55" s="55" t="e">
        <f>IF(AND('Mapa final'!#REF!="Muy Baja",'Mapa final'!#REF!="Catastrófico"),CONCATENATE("R10C",'Mapa final'!#REF!),"")</f>
        <v>#REF!</v>
      </c>
      <c r="AI55" s="56" t="e">
        <f>IF(AND('Mapa final'!#REF!="Muy Baja",'Mapa final'!#REF!="Catastrófico"),CONCATENATE("R10C",'Mapa final'!#REF!),"")</f>
        <v>#REF!</v>
      </c>
      <c r="AJ55" s="56" t="e">
        <f>IF(AND('Mapa final'!#REF!="Muy Baja",'Mapa final'!#REF!="Catastrófico"),CONCATENATE("R10C",'Mapa final'!#REF!),"")</f>
        <v>#REF!</v>
      </c>
      <c r="AK55" s="56" t="e">
        <f>IF(AND('Mapa final'!#REF!="Muy Baja",'Mapa final'!#REF!="Catastrófico"),CONCATENATE("R10C",'Mapa final'!#REF!),"")</f>
        <v>#REF!</v>
      </c>
      <c r="AL55" s="56" t="e">
        <f>IF(AND('Mapa final'!#REF!="Muy Baja",'Mapa final'!#REF!="Catastrófico"),CONCATENATE("R10C",'Mapa final'!#REF!),"")</f>
        <v>#REF!</v>
      </c>
      <c r="AM55" s="57" t="e">
        <f>IF(AND('Mapa final'!#REF!="Muy Baja",'Mapa final'!#REF!="Catastrófico"),CONCATENATE("R10C",'Mapa final'!#REF!),"")</f>
        <v>#REF!</v>
      </c>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row>
    <row r="56" spans="1:80" x14ac:dyDescent="0.25">
      <c r="A56" s="77"/>
      <c r="B56" s="77"/>
      <c r="C56" s="77"/>
      <c r="D56" s="77"/>
      <c r="E56" s="77"/>
      <c r="F56" s="77"/>
      <c r="G56" s="77"/>
      <c r="H56" s="77"/>
      <c r="I56" s="77"/>
      <c r="J56" s="769" t="s">
        <v>543</v>
      </c>
      <c r="K56" s="770"/>
      <c r="L56" s="770"/>
      <c r="M56" s="770"/>
      <c r="N56" s="770"/>
      <c r="O56" s="771"/>
      <c r="P56" s="769" t="s">
        <v>544</v>
      </c>
      <c r="Q56" s="770"/>
      <c r="R56" s="770"/>
      <c r="S56" s="770"/>
      <c r="T56" s="770"/>
      <c r="U56" s="771"/>
      <c r="V56" s="769" t="s">
        <v>545</v>
      </c>
      <c r="W56" s="770"/>
      <c r="X56" s="770"/>
      <c r="Y56" s="770"/>
      <c r="Z56" s="770"/>
      <c r="AA56" s="771"/>
      <c r="AB56" s="769" t="s">
        <v>546</v>
      </c>
      <c r="AC56" s="778"/>
      <c r="AD56" s="770"/>
      <c r="AE56" s="770"/>
      <c r="AF56" s="770"/>
      <c r="AG56" s="771"/>
      <c r="AH56" s="769" t="s">
        <v>547</v>
      </c>
      <c r="AI56" s="770"/>
      <c r="AJ56" s="770"/>
      <c r="AK56" s="770"/>
      <c r="AL56" s="770"/>
      <c r="AM56" s="771"/>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row>
    <row r="57" spans="1:80" x14ac:dyDescent="0.25">
      <c r="A57" s="77"/>
      <c r="B57" s="77"/>
      <c r="C57" s="77"/>
      <c r="D57" s="77"/>
      <c r="E57" s="77"/>
      <c r="F57" s="77"/>
      <c r="G57" s="77"/>
      <c r="H57" s="77"/>
      <c r="I57" s="77"/>
      <c r="J57" s="772"/>
      <c r="K57" s="773"/>
      <c r="L57" s="773"/>
      <c r="M57" s="773"/>
      <c r="N57" s="773"/>
      <c r="O57" s="774"/>
      <c r="P57" s="772"/>
      <c r="Q57" s="773"/>
      <c r="R57" s="773"/>
      <c r="S57" s="773"/>
      <c r="T57" s="773"/>
      <c r="U57" s="774"/>
      <c r="V57" s="772"/>
      <c r="W57" s="773"/>
      <c r="X57" s="773"/>
      <c r="Y57" s="773"/>
      <c r="Z57" s="773"/>
      <c r="AA57" s="774"/>
      <c r="AB57" s="772"/>
      <c r="AC57" s="773"/>
      <c r="AD57" s="773"/>
      <c r="AE57" s="773"/>
      <c r="AF57" s="773"/>
      <c r="AG57" s="774"/>
      <c r="AH57" s="772"/>
      <c r="AI57" s="773"/>
      <c r="AJ57" s="773"/>
      <c r="AK57" s="773"/>
      <c r="AL57" s="773"/>
      <c r="AM57" s="774"/>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row>
    <row r="58" spans="1:80" x14ac:dyDescent="0.25">
      <c r="A58" s="77"/>
      <c r="B58" s="77"/>
      <c r="C58" s="77"/>
      <c r="D58" s="77"/>
      <c r="E58" s="77"/>
      <c r="F58" s="77"/>
      <c r="G58" s="77"/>
      <c r="H58" s="77"/>
      <c r="I58" s="77"/>
      <c r="J58" s="772"/>
      <c r="K58" s="773"/>
      <c r="L58" s="773"/>
      <c r="M58" s="773"/>
      <c r="N58" s="773"/>
      <c r="O58" s="774"/>
      <c r="P58" s="772"/>
      <c r="Q58" s="773"/>
      <c r="R58" s="773"/>
      <c r="S58" s="773"/>
      <c r="T58" s="773"/>
      <c r="U58" s="774"/>
      <c r="V58" s="772"/>
      <c r="W58" s="773"/>
      <c r="X58" s="773"/>
      <c r="Y58" s="773"/>
      <c r="Z58" s="773"/>
      <c r="AA58" s="774"/>
      <c r="AB58" s="772"/>
      <c r="AC58" s="773"/>
      <c r="AD58" s="773"/>
      <c r="AE58" s="773"/>
      <c r="AF58" s="773"/>
      <c r="AG58" s="774"/>
      <c r="AH58" s="772"/>
      <c r="AI58" s="773"/>
      <c r="AJ58" s="773"/>
      <c r="AK58" s="773"/>
      <c r="AL58" s="773"/>
      <c r="AM58" s="774"/>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row>
    <row r="59" spans="1:80" x14ac:dyDescent="0.25">
      <c r="A59" s="77"/>
      <c r="B59" s="77"/>
      <c r="C59" s="77"/>
      <c r="D59" s="77"/>
      <c r="E59" s="77"/>
      <c r="F59" s="77"/>
      <c r="G59" s="77"/>
      <c r="H59" s="77"/>
      <c r="I59" s="77"/>
      <c r="J59" s="772"/>
      <c r="K59" s="773"/>
      <c r="L59" s="773"/>
      <c r="M59" s="773"/>
      <c r="N59" s="773"/>
      <c r="O59" s="774"/>
      <c r="P59" s="772"/>
      <c r="Q59" s="773"/>
      <c r="R59" s="773"/>
      <c r="S59" s="773"/>
      <c r="T59" s="773"/>
      <c r="U59" s="774"/>
      <c r="V59" s="772"/>
      <c r="W59" s="773"/>
      <c r="X59" s="773"/>
      <c r="Y59" s="773"/>
      <c r="Z59" s="773"/>
      <c r="AA59" s="774"/>
      <c r="AB59" s="772"/>
      <c r="AC59" s="773"/>
      <c r="AD59" s="773"/>
      <c r="AE59" s="773"/>
      <c r="AF59" s="773"/>
      <c r="AG59" s="774"/>
      <c r="AH59" s="772"/>
      <c r="AI59" s="773"/>
      <c r="AJ59" s="773"/>
      <c r="AK59" s="773"/>
      <c r="AL59" s="773"/>
      <c r="AM59" s="774"/>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row>
    <row r="60" spans="1:80" x14ac:dyDescent="0.25">
      <c r="A60" s="77"/>
      <c r="B60" s="77"/>
      <c r="C60" s="77"/>
      <c r="D60" s="77"/>
      <c r="E60" s="77"/>
      <c r="F60" s="77"/>
      <c r="G60" s="77"/>
      <c r="H60" s="77"/>
      <c r="I60" s="77"/>
      <c r="J60" s="772"/>
      <c r="K60" s="773"/>
      <c r="L60" s="773"/>
      <c r="M60" s="773"/>
      <c r="N60" s="773"/>
      <c r="O60" s="774"/>
      <c r="P60" s="772"/>
      <c r="Q60" s="773"/>
      <c r="R60" s="773"/>
      <c r="S60" s="773"/>
      <c r="T60" s="773"/>
      <c r="U60" s="774"/>
      <c r="V60" s="772"/>
      <c r="W60" s="773"/>
      <c r="X60" s="773"/>
      <c r="Y60" s="773"/>
      <c r="Z60" s="773"/>
      <c r="AA60" s="774"/>
      <c r="AB60" s="772"/>
      <c r="AC60" s="773"/>
      <c r="AD60" s="773"/>
      <c r="AE60" s="773"/>
      <c r="AF60" s="773"/>
      <c r="AG60" s="774"/>
      <c r="AH60" s="772"/>
      <c r="AI60" s="773"/>
      <c r="AJ60" s="773"/>
      <c r="AK60" s="773"/>
      <c r="AL60" s="773"/>
      <c r="AM60" s="774"/>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row>
    <row r="61" spans="1:80" ht="15.75" thickBot="1" x14ac:dyDescent="0.3">
      <c r="A61" s="77"/>
      <c r="B61" s="77"/>
      <c r="C61" s="77"/>
      <c r="D61" s="77"/>
      <c r="E61" s="77"/>
      <c r="F61" s="77"/>
      <c r="G61" s="77"/>
      <c r="H61" s="77"/>
      <c r="I61" s="77"/>
      <c r="J61" s="775"/>
      <c r="K61" s="776"/>
      <c r="L61" s="776"/>
      <c r="M61" s="776"/>
      <c r="N61" s="776"/>
      <c r="O61" s="777"/>
      <c r="P61" s="775"/>
      <c r="Q61" s="776"/>
      <c r="R61" s="776"/>
      <c r="S61" s="776"/>
      <c r="T61" s="776"/>
      <c r="U61" s="777"/>
      <c r="V61" s="775"/>
      <c r="W61" s="776"/>
      <c r="X61" s="776"/>
      <c r="Y61" s="776"/>
      <c r="Z61" s="776"/>
      <c r="AA61" s="777"/>
      <c r="AB61" s="775"/>
      <c r="AC61" s="776"/>
      <c r="AD61" s="776"/>
      <c r="AE61" s="776"/>
      <c r="AF61" s="776"/>
      <c r="AG61" s="777"/>
      <c r="AH61" s="775"/>
      <c r="AI61" s="776"/>
      <c r="AJ61" s="776"/>
      <c r="AK61" s="776"/>
      <c r="AL61" s="776"/>
      <c r="AM61" s="7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row>
    <row r="62" spans="1:80" x14ac:dyDescent="0.25">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row>
    <row r="63" spans="1:80" ht="15" customHeight="1" x14ac:dyDescent="0.25">
      <c r="A63" s="77"/>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77"/>
      <c r="AV63" s="77"/>
      <c r="AW63" s="77"/>
      <c r="AX63" s="77"/>
      <c r="AY63" s="77"/>
      <c r="AZ63" s="77"/>
      <c r="BA63" s="77"/>
      <c r="BB63" s="77"/>
      <c r="BC63" s="77"/>
      <c r="BD63" s="77"/>
      <c r="BE63" s="77"/>
      <c r="BF63" s="77"/>
      <c r="BG63" s="77"/>
      <c r="BH63" s="77"/>
    </row>
    <row r="64" spans="1:80" ht="15" customHeight="1" x14ac:dyDescent="0.25">
      <c r="A64" s="77"/>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77"/>
      <c r="AV64" s="77"/>
      <c r="AW64" s="77"/>
      <c r="AX64" s="77"/>
      <c r="AY64" s="77"/>
      <c r="AZ64" s="77"/>
      <c r="BA64" s="77"/>
      <c r="BB64" s="77"/>
      <c r="BC64" s="77"/>
      <c r="BD64" s="77"/>
      <c r="BE64" s="77"/>
      <c r="BF64" s="77"/>
      <c r="BG64" s="77"/>
      <c r="BH64" s="77"/>
    </row>
    <row r="65" spans="1:60" x14ac:dyDescent="0.25">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row>
    <row r="66" spans="1:60" x14ac:dyDescent="0.25">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row>
    <row r="67" spans="1:60" x14ac:dyDescent="0.25">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row>
    <row r="68" spans="1:60" x14ac:dyDescent="0.25">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row>
    <row r="69" spans="1:60" x14ac:dyDescent="0.25">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row>
    <row r="70" spans="1:60" x14ac:dyDescent="0.25">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row>
    <row r="71" spans="1:60"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row>
    <row r="72" spans="1:60"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row>
    <row r="73" spans="1:60"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row>
    <row r="74" spans="1:60"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row>
    <row r="75" spans="1:60"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row>
    <row r="76" spans="1:60"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row>
    <row r="77" spans="1:60"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row>
    <row r="78" spans="1:60" x14ac:dyDescent="0.25">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row>
    <row r="79" spans="1:60"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row>
    <row r="80" spans="1:60"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row>
    <row r="81" spans="1:60"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row>
    <row r="82" spans="1:60"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row>
    <row r="83" spans="1:60"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row>
    <row r="84" spans="1:60"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row>
    <row r="85" spans="1:60"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row>
    <row r="86" spans="1:60"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row>
    <row r="87" spans="1:60"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row>
    <row r="88" spans="1:60"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row>
    <row r="89" spans="1:60"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row>
    <row r="90" spans="1:60"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row>
    <row r="91" spans="1:60"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row>
    <row r="92" spans="1:60"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row>
    <row r="93" spans="1:60"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row>
    <row r="94" spans="1:60" x14ac:dyDescent="0.25">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row>
    <row r="95" spans="1:60"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row>
    <row r="96" spans="1:60"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row>
    <row r="97" spans="1:60" x14ac:dyDescent="0.25">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row>
    <row r="98" spans="1:60" x14ac:dyDescent="0.25">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row>
    <row r="99" spans="1:60" x14ac:dyDescent="0.25">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row>
    <row r="100" spans="1:60" x14ac:dyDescent="0.25">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row>
    <row r="101" spans="1:60" x14ac:dyDescent="0.25">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row>
    <row r="102" spans="1:60" x14ac:dyDescent="0.25">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row>
    <row r="103" spans="1:60" x14ac:dyDescent="0.25">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row>
    <row r="104" spans="1:60" x14ac:dyDescent="0.25">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row>
    <row r="105" spans="1:60" x14ac:dyDescent="0.25">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row>
    <row r="106" spans="1:60" x14ac:dyDescent="0.25">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row>
    <row r="107" spans="1:60" x14ac:dyDescent="0.25">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row>
    <row r="108" spans="1:60" x14ac:dyDescent="0.25">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row>
    <row r="109" spans="1:60" x14ac:dyDescent="0.25">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row>
    <row r="110" spans="1:60" x14ac:dyDescent="0.25">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c r="BH110" s="77"/>
    </row>
    <row r="111" spans="1:60" x14ac:dyDescent="0.25">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c r="BH111" s="77"/>
    </row>
    <row r="112" spans="1:60" x14ac:dyDescent="0.25">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row>
    <row r="113" spans="1:60" x14ac:dyDescent="0.25">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c r="BF113" s="77"/>
      <c r="BG113" s="77"/>
      <c r="BH113" s="77"/>
    </row>
    <row r="114" spans="1:60" x14ac:dyDescent="0.25">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c r="BH114" s="77"/>
    </row>
    <row r="115" spans="1:60" x14ac:dyDescent="0.25">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c r="BH115" s="77"/>
    </row>
    <row r="116" spans="1:60" x14ac:dyDescent="0.25">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c r="BF116" s="77"/>
      <c r="BG116" s="77"/>
      <c r="BH116" s="77"/>
    </row>
    <row r="117" spans="1:60" x14ac:dyDescent="0.25">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c r="BF117" s="77"/>
      <c r="BG117" s="77"/>
      <c r="BH117" s="77"/>
    </row>
    <row r="118" spans="1:60" x14ac:dyDescent="0.25">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row>
    <row r="119" spans="1:60" x14ac:dyDescent="0.25">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c r="BF119" s="77"/>
      <c r="BG119" s="77"/>
      <c r="BH119" s="77"/>
    </row>
    <row r="120" spans="1:60" x14ac:dyDescent="0.25">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c r="BF120" s="77"/>
      <c r="BG120" s="77"/>
      <c r="BH120" s="77"/>
    </row>
    <row r="121" spans="1:60" x14ac:dyDescent="0.25">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7"/>
      <c r="BH121" s="77"/>
    </row>
    <row r="122" spans="1:60" x14ac:dyDescent="0.25">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row>
    <row r="123" spans="1:60" x14ac:dyDescent="0.25">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c r="BH123" s="77"/>
    </row>
    <row r="124" spans="1:60" x14ac:dyDescent="0.25">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row>
    <row r="125" spans="1:60" x14ac:dyDescent="0.25">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c r="BF125" s="77"/>
      <c r="BG125" s="77"/>
      <c r="BH125" s="77"/>
    </row>
    <row r="126" spans="1:60" x14ac:dyDescent="0.25">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row>
    <row r="127" spans="1:60" x14ac:dyDescent="0.25">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c r="BC127" s="77"/>
      <c r="BD127" s="77"/>
      <c r="BE127" s="77"/>
      <c r="BF127" s="77"/>
      <c r="BG127" s="77"/>
      <c r="BH127" s="77"/>
    </row>
    <row r="128" spans="1:60" x14ac:dyDescent="0.25">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c r="BF128" s="77"/>
      <c r="BG128" s="77"/>
      <c r="BH128" s="77"/>
    </row>
    <row r="129" spans="1:60" x14ac:dyDescent="0.25">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c r="BF129" s="77"/>
      <c r="BG129" s="77"/>
      <c r="BH129" s="77"/>
    </row>
    <row r="130" spans="1:60" x14ac:dyDescent="0.25">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G130" s="77"/>
      <c r="BH130" s="77"/>
    </row>
    <row r="131" spans="1:60" x14ac:dyDescent="0.25">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c r="BF131" s="77"/>
      <c r="BG131" s="77"/>
      <c r="BH131" s="77"/>
    </row>
    <row r="132" spans="1:60" x14ac:dyDescent="0.25">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c r="BF132" s="77"/>
      <c r="BG132" s="77"/>
      <c r="BH132" s="77"/>
    </row>
    <row r="133" spans="1:60" x14ac:dyDescent="0.25">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c r="BF133" s="77"/>
      <c r="BG133" s="77"/>
      <c r="BH133" s="77"/>
    </row>
    <row r="134" spans="1:60" x14ac:dyDescent="0.25">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77"/>
      <c r="BH134" s="77"/>
    </row>
    <row r="135" spans="1:60" x14ac:dyDescent="0.25">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77"/>
      <c r="BG135" s="77"/>
      <c r="BH135" s="77"/>
    </row>
    <row r="136" spans="1:60" x14ac:dyDescent="0.25">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77"/>
    </row>
    <row r="137" spans="1:60" x14ac:dyDescent="0.25">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c r="BF137" s="77"/>
      <c r="BG137" s="77"/>
      <c r="BH137" s="77"/>
    </row>
    <row r="138" spans="1:60" x14ac:dyDescent="0.25">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c r="BC138" s="77"/>
      <c r="BD138" s="77"/>
      <c r="BE138" s="77"/>
      <c r="BF138" s="77"/>
      <c r="BG138" s="77"/>
      <c r="BH138" s="77"/>
    </row>
    <row r="139" spans="1:60" x14ac:dyDescent="0.25">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77"/>
    </row>
    <row r="140" spans="1:60" x14ac:dyDescent="0.25">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c r="BF140" s="77"/>
      <c r="BG140" s="77"/>
      <c r="BH140" s="77"/>
    </row>
    <row r="141" spans="1:60" x14ac:dyDescent="0.25">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c r="BA141" s="77"/>
      <c r="BB141" s="77"/>
      <c r="BC141" s="77"/>
      <c r="BD141" s="77"/>
      <c r="BE141" s="77"/>
      <c r="BF141" s="77"/>
      <c r="BG141" s="77"/>
      <c r="BH141" s="77"/>
    </row>
    <row r="142" spans="1:60" x14ac:dyDescent="0.25">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c r="BF142" s="77"/>
      <c r="BG142" s="77"/>
      <c r="BH142" s="77"/>
    </row>
    <row r="143" spans="1:60" x14ac:dyDescent="0.25">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c r="BF143" s="77"/>
      <c r="BG143" s="77"/>
      <c r="BH143" s="77"/>
    </row>
    <row r="144" spans="1:60" x14ac:dyDescent="0.25">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c r="BF144" s="77"/>
      <c r="BG144" s="77"/>
      <c r="BH144" s="77"/>
    </row>
    <row r="145" spans="1:60" x14ac:dyDescent="0.25">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c r="BF145" s="77"/>
      <c r="BG145" s="77"/>
      <c r="BH145" s="77"/>
    </row>
    <row r="146" spans="1:60" x14ac:dyDescent="0.25">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c r="AW146" s="77"/>
      <c r="AX146" s="77"/>
      <c r="AY146" s="77"/>
      <c r="AZ146" s="77"/>
      <c r="BA146" s="77"/>
      <c r="BB146" s="77"/>
      <c r="BC146" s="77"/>
      <c r="BD146" s="77"/>
      <c r="BE146" s="77"/>
      <c r="BF146" s="77"/>
      <c r="BG146" s="77"/>
      <c r="BH146" s="77"/>
    </row>
    <row r="147" spans="1:60" x14ac:dyDescent="0.25">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c r="BA147" s="77"/>
      <c r="BB147" s="77"/>
      <c r="BC147" s="77"/>
      <c r="BD147" s="77"/>
      <c r="BE147" s="77"/>
      <c r="BF147" s="77"/>
      <c r="BG147" s="77"/>
      <c r="BH147" s="77"/>
    </row>
    <row r="148" spans="1:60" x14ac:dyDescent="0.25">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c r="BF148" s="77"/>
      <c r="BG148" s="77"/>
      <c r="BH148" s="77"/>
    </row>
    <row r="149" spans="1:60" x14ac:dyDescent="0.25">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c r="AW149" s="77"/>
      <c r="AX149" s="77"/>
      <c r="AY149" s="77"/>
      <c r="AZ149" s="77"/>
      <c r="BA149" s="77"/>
      <c r="BB149" s="77"/>
      <c r="BC149" s="77"/>
      <c r="BD149" s="77"/>
      <c r="BE149" s="77"/>
      <c r="BF149" s="77"/>
      <c r="BG149" s="77"/>
      <c r="BH149" s="77"/>
    </row>
    <row r="150" spans="1:60" x14ac:dyDescent="0.25">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c r="BF150" s="77"/>
      <c r="BG150" s="77"/>
      <c r="BH150" s="77"/>
    </row>
    <row r="151" spans="1:60" x14ac:dyDescent="0.25">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c r="AW151" s="77"/>
      <c r="AX151" s="77"/>
      <c r="AY151" s="77"/>
      <c r="AZ151" s="77"/>
      <c r="BA151" s="77"/>
      <c r="BB151" s="77"/>
      <c r="BC151" s="77"/>
      <c r="BD151" s="77"/>
      <c r="BE151" s="77"/>
      <c r="BF151" s="77"/>
      <c r="BG151" s="77"/>
      <c r="BH151" s="77"/>
    </row>
    <row r="152" spans="1:60" x14ac:dyDescent="0.25">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c r="AS152" s="77"/>
      <c r="AT152" s="77"/>
      <c r="AU152" s="77"/>
      <c r="AV152" s="77"/>
      <c r="AW152" s="77"/>
      <c r="AX152" s="77"/>
      <c r="AY152" s="77"/>
      <c r="AZ152" s="77"/>
      <c r="BA152" s="77"/>
      <c r="BB152" s="77"/>
      <c r="BC152" s="77"/>
      <c r="BD152" s="77"/>
      <c r="BE152" s="77"/>
      <c r="BF152" s="77"/>
      <c r="BG152" s="77"/>
      <c r="BH152" s="77"/>
    </row>
    <row r="153" spans="1:60" x14ac:dyDescent="0.25">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c r="AT153" s="77"/>
      <c r="AU153" s="77"/>
      <c r="AV153" s="77"/>
      <c r="AW153" s="77"/>
      <c r="AX153" s="77"/>
      <c r="AY153" s="77"/>
      <c r="AZ153" s="77"/>
      <c r="BA153" s="77"/>
      <c r="BB153" s="77"/>
      <c r="BC153" s="77"/>
      <c r="BD153" s="77"/>
      <c r="BE153" s="77"/>
      <c r="BF153" s="77"/>
      <c r="BG153" s="77"/>
      <c r="BH153" s="77"/>
    </row>
    <row r="154" spans="1:60" x14ac:dyDescent="0.25">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c r="AS154" s="77"/>
      <c r="AT154" s="77"/>
      <c r="AU154" s="77"/>
      <c r="AV154" s="77"/>
      <c r="AW154" s="77"/>
      <c r="AX154" s="77"/>
      <c r="AY154" s="77"/>
      <c r="AZ154" s="77"/>
      <c r="BA154" s="77"/>
      <c r="BB154" s="77"/>
      <c r="BC154" s="77"/>
      <c r="BD154" s="77"/>
      <c r="BE154" s="77"/>
      <c r="BF154" s="77"/>
      <c r="BG154" s="77"/>
      <c r="BH154" s="77"/>
    </row>
    <row r="155" spans="1:60" x14ac:dyDescent="0.25">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c r="BA155" s="77"/>
      <c r="BB155" s="77"/>
      <c r="BC155" s="77"/>
      <c r="BD155" s="77"/>
      <c r="BE155" s="77"/>
      <c r="BF155" s="77"/>
      <c r="BG155" s="77"/>
      <c r="BH155" s="77"/>
    </row>
    <row r="156" spans="1:60" x14ac:dyDescent="0.25">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7"/>
      <c r="AT156" s="77"/>
      <c r="AU156" s="77"/>
      <c r="AV156" s="77"/>
      <c r="AW156" s="77"/>
      <c r="AX156" s="77"/>
      <c r="AY156" s="77"/>
      <c r="AZ156" s="77"/>
      <c r="BA156" s="77"/>
      <c r="BB156" s="77"/>
      <c r="BC156" s="77"/>
      <c r="BD156" s="77"/>
      <c r="BE156" s="77"/>
      <c r="BF156" s="77"/>
      <c r="BG156" s="77"/>
      <c r="BH156" s="77"/>
    </row>
    <row r="157" spans="1:60" x14ac:dyDescent="0.25">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c r="AW157" s="77"/>
      <c r="AX157" s="77"/>
      <c r="AY157" s="77"/>
      <c r="AZ157" s="77"/>
      <c r="BA157" s="77"/>
      <c r="BB157" s="77"/>
      <c r="BC157" s="77"/>
      <c r="BD157" s="77"/>
      <c r="BE157" s="77"/>
      <c r="BF157" s="77"/>
      <c r="BG157" s="77"/>
      <c r="BH157" s="77"/>
    </row>
    <row r="158" spans="1:60" x14ac:dyDescent="0.25">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c r="AS158" s="77"/>
      <c r="AT158" s="77"/>
      <c r="AU158" s="77"/>
      <c r="AV158" s="77"/>
      <c r="AW158" s="77"/>
      <c r="AX158" s="77"/>
      <c r="AY158" s="77"/>
      <c r="AZ158" s="77"/>
      <c r="BA158" s="77"/>
      <c r="BB158" s="77"/>
      <c r="BC158" s="77"/>
      <c r="BD158" s="77"/>
      <c r="BE158" s="77"/>
      <c r="BF158" s="77"/>
      <c r="BG158" s="77"/>
      <c r="BH158" s="77"/>
    </row>
    <row r="159" spans="1:60" x14ac:dyDescent="0.25">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c r="AW159" s="77"/>
      <c r="AX159" s="77"/>
      <c r="AY159" s="77"/>
      <c r="AZ159" s="77"/>
      <c r="BA159" s="77"/>
      <c r="BB159" s="77"/>
      <c r="BC159" s="77"/>
      <c r="BD159" s="77"/>
      <c r="BE159" s="77"/>
      <c r="BF159" s="77"/>
      <c r="BG159" s="77"/>
      <c r="BH159" s="77"/>
    </row>
    <row r="160" spans="1:60" x14ac:dyDescent="0.25">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c r="AW160" s="77"/>
      <c r="AX160" s="77"/>
      <c r="AY160" s="77"/>
      <c r="AZ160" s="77"/>
      <c r="BA160" s="77"/>
      <c r="BB160" s="77"/>
      <c r="BC160" s="77"/>
      <c r="BD160" s="77"/>
      <c r="BE160" s="77"/>
      <c r="BF160" s="77"/>
      <c r="BG160" s="77"/>
      <c r="BH160" s="77"/>
    </row>
    <row r="161" spans="1:60" x14ac:dyDescent="0.25">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7"/>
      <c r="AW161" s="77"/>
      <c r="AX161" s="77"/>
      <c r="AY161" s="77"/>
      <c r="AZ161" s="77"/>
      <c r="BA161" s="77"/>
      <c r="BB161" s="77"/>
      <c r="BC161" s="77"/>
      <c r="BD161" s="77"/>
      <c r="BE161" s="77"/>
      <c r="BF161" s="77"/>
      <c r="BG161" s="77"/>
      <c r="BH161" s="77"/>
    </row>
    <row r="162" spans="1:60" x14ac:dyDescent="0.25">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c r="AY162" s="77"/>
      <c r="AZ162" s="77"/>
      <c r="BA162" s="77"/>
      <c r="BB162" s="77"/>
      <c r="BC162" s="77"/>
      <c r="BD162" s="77"/>
      <c r="BE162" s="77"/>
      <c r="BF162" s="77"/>
      <c r="BG162" s="77"/>
      <c r="BH162" s="77"/>
    </row>
    <row r="163" spans="1:60" x14ac:dyDescent="0.25">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7"/>
      <c r="AZ163" s="77"/>
      <c r="BA163" s="77"/>
      <c r="BB163" s="77"/>
      <c r="BC163" s="77"/>
      <c r="BD163" s="77"/>
      <c r="BE163" s="77"/>
      <c r="BF163" s="77"/>
      <c r="BG163" s="77"/>
      <c r="BH163" s="77"/>
    </row>
    <row r="164" spans="1:60" x14ac:dyDescent="0.25">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c r="AS164" s="77"/>
      <c r="AT164" s="77"/>
      <c r="AU164" s="77"/>
      <c r="AV164" s="77"/>
      <c r="AW164" s="77"/>
      <c r="AX164" s="77"/>
      <c r="AY164" s="77"/>
      <c r="AZ164" s="77"/>
      <c r="BA164" s="77"/>
      <c r="BB164" s="77"/>
      <c r="BC164" s="77"/>
      <c r="BD164" s="77"/>
      <c r="BE164" s="77"/>
      <c r="BF164" s="77"/>
      <c r="BG164" s="77"/>
      <c r="BH164" s="77"/>
    </row>
    <row r="165" spans="1:60" x14ac:dyDescent="0.25">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c r="AT165" s="77"/>
      <c r="AU165" s="77"/>
      <c r="AV165" s="77"/>
      <c r="AW165" s="77"/>
      <c r="AX165" s="77"/>
      <c r="AY165" s="77"/>
      <c r="AZ165" s="77"/>
      <c r="BA165" s="77"/>
      <c r="BB165" s="77"/>
      <c r="BC165" s="77"/>
      <c r="BD165" s="77"/>
      <c r="BE165" s="77"/>
      <c r="BF165" s="77"/>
      <c r="BG165" s="77"/>
      <c r="BH165" s="77"/>
    </row>
    <row r="166" spans="1:60" x14ac:dyDescent="0.25">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c r="AW166" s="77"/>
      <c r="AX166" s="77"/>
      <c r="AY166" s="77"/>
      <c r="AZ166" s="77"/>
      <c r="BA166" s="77"/>
      <c r="BB166" s="77"/>
      <c r="BC166" s="77"/>
      <c r="BD166" s="77"/>
      <c r="BE166" s="77"/>
      <c r="BF166" s="77"/>
      <c r="BG166" s="77"/>
      <c r="BH166" s="77"/>
    </row>
    <row r="167" spans="1:60" x14ac:dyDescent="0.25">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c r="BF167" s="77"/>
      <c r="BG167" s="77"/>
      <c r="BH167" s="77"/>
    </row>
    <row r="168" spans="1:60" x14ac:dyDescent="0.25">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c r="BF168" s="77"/>
      <c r="BG168" s="77"/>
      <c r="BH168" s="77"/>
    </row>
    <row r="169" spans="1:60" x14ac:dyDescent="0.25">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c r="AW169" s="77"/>
      <c r="AX169" s="77"/>
      <c r="AY169" s="77"/>
      <c r="AZ169" s="77"/>
      <c r="BA169" s="77"/>
      <c r="BB169" s="77"/>
      <c r="BC169" s="77"/>
      <c r="BD169" s="77"/>
      <c r="BE169" s="77"/>
      <c r="BF169" s="77"/>
      <c r="BG169" s="77"/>
      <c r="BH169" s="77"/>
    </row>
    <row r="170" spans="1:60" x14ac:dyDescent="0.25">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R170" s="77"/>
      <c r="AS170" s="77"/>
      <c r="AT170" s="77"/>
      <c r="AU170" s="77"/>
      <c r="AV170" s="77"/>
      <c r="AW170" s="77"/>
      <c r="AX170" s="77"/>
      <c r="AY170" s="77"/>
      <c r="AZ170" s="77"/>
      <c r="BA170" s="77"/>
      <c r="BB170" s="77"/>
      <c r="BC170" s="77"/>
      <c r="BD170" s="77"/>
      <c r="BE170" s="77"/>
      <c r="BF170" s="77"/>
      <c r="BG170" s="77"/>
      <c r="BH170" s="77"/>
    </row>
    <row r="171" spans="1:60" x14ac:dyDescent="0.25">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c r="AT171" s="77"/>
      <c r="AU171" s="77"/>
      <c r="AV171" s="77"/>
      <c r="AW171" s="77"/>
      <c r="AX171" s="77"/>
      <c r="AY171" s="77"/>
      <c r="AZ171" s="77"/>
      <c r="BA171" s="77"/>
      <c r="BB171" s="77"/>
      <c r="BC171" s="77"/>
      <c r="BD171" s="77"/>
      <c r="BE171" s="77"/>
      <c r="BF171" s="77"/>
      <c r="BG171" s="77"/>
      <c r="BH171" s="77"/>
    </row>
    <row r="172" spans="1:60" x14ac:dyDescent="0.25">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c r="AW172" s="77"/>
      <c r="AX172" s="77"/>
      <c r="AY172" s="77"/>
      <c r="AZ172" s="77"/>
      <c r="BA172" s="77"/>
      <c r="BB172" s="77"/>
      <c r="BC172" s="77"/>
      <c r="BD172" s="77"/>
      <c r="BE172" s="77"/>
      <c r="BF172" s="77"/>
      <c r="BG172" s="77"/>
      <c r="BH172" s="77"/>
    </row>
    <row r="173" spans="1:60" x14ac:dyDescent="0.25">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c r="BA173" s="77"/>
      <c r="BB173" s="77"/>
      <c r="BC173" s="77"/>
      <c r="BD173" s="77"/>
      <c r="BE173" s="77"/>
      <c r="BF173" s="77"/>
      <c r="BG173" s="77"/>
      <c r="BH173" s="77"/>
    </row>
    <row r="174" spans="1:60" x14ac:dyDescent="0.25">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c r="AS174" s="77"/>
      <c r="AT174" s="77"/>
      <c r="AU174" s="77"/>
      <c r="AV174" s="77"/>
      <c r="AW174" s="77"/>
      <c r="AX174" s="77"/>
      <c r="AY174" s="77"/>
      <c r="AZ174" s="77"/>
      <c r="BA174" s="77"/>
      <c r="BB174" s="77"/>
      <c r="BC174" s="77"/>
      <c r="BD174" s="77"/>
      <c r="BE174" s="77"/>
      <c r="BF174" s="77"/>
      <c r="BG174" s="77"/>
      <c r="BH174" s="77"/>
    </row>
    <row r="175" spans="1:60" x14ac:dyDescent="0.25">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c r="BA175" s="77"/>
      <c r="BB175" s="77"/>
      <c r="BC175" s="77"/>
      <c r="BD175" s="77"/>
      <c r="BE175" s="77"/>
      <c r="BF175" s="77"/>
      <c r="BG175" s="77"/>
      <c r="BH175" s="77"/>
    </row>
    <row r="176" spans="1:60" x14ac:dyDescent="0.25">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c r="AW176" s="77"/>
      <c r="AX176" s="77"/>
      <c r="AY176" s="77"/>
      <c r="AZ176" s="77"/>
      <c r="BA176" s="77"/>
      <c r="BB176" s="77"/>
      <c r="BC176" s="77"/>
      <c r="BD176" s="77"/>
      <c r="BE176" s="77"/>
      <c r="BF176" s="77"/>
      <c r="BG176" s="77"/>
      <c r="BH176" s="77"/>
    </row>
    <row r="177" spans="1:60" x14ac:dyDescent="0.25">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c r="AW177" s="77"/>
      <c r="AX177" s="77"/>
      <c r="AY177" s="77"/>
      <c r="AZ177" s="77"/>
      <c r="BA177" s="77"/>
      <c r="BB177" s="77"/>
      <c r="BC177" s="77"/>
      <c r="BD177" s="77"/>
      <c r="BE177" s="77"/>
      <c r="BF177" s="77"/>
      <c r="BG177" s="77"/>
      <c r="BH177" s="77"/>
    </row>
    <row r="178" spans="1:60" x14ac:dyDescent="0.25">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c r="AW178" s="77"/>
      <c r="AX178" s="77"/>
      <c r="AY178" s="77"/>
      <c r="AZ178" s="77"/>
      <c r="BA178" s="77"/>
      <c r="BB178" s="77"/>
      <c r="BC178" s="77"/>
      <c r="BD178" s="77"/>
      <c r="BE178" s="77"/>
      <c r="BF178" s="77"/>
      <c r="BG178" s="77"/>
      <c r="BH178" s="77"/>
    </row>
    <row r="179" spans="1:60" x14ac:dyDescent="0.25">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c r="AW179" s="77"/>
      <c r="AX179" s="77"/>
      <c r="AY179" s="77"/>
      <c r="AZ179" s="77"/>
      <c r="BA179" s="77"/>
      <c r="BB179" s="77"/>
      <c r="BC179" s="77"/>
      <c r="BD179" s="77"/>
      <c r="BE179" s="77"/>
      <c r="BF179" s="77"/>
      <c r="BG179" s="77"/>
      <c r="BH179" s="77"/>
    </row>
    <row r="180" spans="1:60" x14ac:dyDescent="0.25">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c r="BA180" s="77"/>
      <c r="BB180" s="77"/>
      <c r="BC180" s="77"/>
      <c r="BD180" s="77"/>
      <c r="BE180" s="77"/>
      <c r="BF180" s="77"/>
      <c r="BG180" s="77"/>
      <c r="BH180" s="77"/>
    </row>
    <row r="181" spans="1:60" x14ac:dyDescent="0.25">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7"/>
      <c r="AR181" s="77"/>
      <c r="AS181" s="77"/>
      <c r="AT181" s="77"/>
      <c r="AU181" s="77"/>
      <c r="AV181" s="77"/>
      <c r="AW181" s="77"/>
      <c r="AX181" s="77"/>
      <c r="AY181" s="77"/>
      <c r="AZ181" s="77"/>
      <c r="BA181" s="77"/>
      <c r="BB181" s="77"/>
      <c r="BC181" s="77"/>
      <c r="BD181" s="77"/>
      <c r="BE181" s="77"/>
      <c r="BF181" s="77"/>
      <c r="BG181" s="77"/>
      <c r="BH181" s="77"/>
    </row>
    <row r="182" spans="1:60" x14ac:dyDescent="0.25">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c r="AW182" s="77"/>
      <c r="AX182" s="77"/>
      <c r="AY182" s="77"/>
      <c r="AZ182" s="77"/>
      <c r="BA182" s="77"/>
      <c r="BB182" s="77"/>
      <c r="BC182" s="77"/>
      <c r="BD182" s="77"/>
      <c r="BE182" s="77"/>
      <c r="BF182" s="77"/>
      <c r="BG182" s="77"/>
      <c r="BH182" s="77"/>
    </row>
    <row r="183" spans="1:60" x14ac:dyDescent="0.25">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S183" s="77"/>
      <c r="AT183" s="77"/>
      <c r="AU183" s="77"/>
      <c r="AV183" s="77"/>
      <c r="AW183" s="77"/>
      <c r="AX183" s="77"/>
      <c r="AY183" s="77"/>
      <c r="AZ183" s="77"/>
      <c r="BA183" s="77"/>
      <c r="BB183" s="77"/>
      <c r="BC183" s="77"/>
      <c r="BD183" s="77"/>
      <c r="BE183" s="77"/>
      <c r="BF183" s="77"/>
      <c r="BG183" s="77"/>
      <c r="BH183" s="77"/>
    </row>
    <row r="184" spans="1:60" x14ac:dyDescent="0.25">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7"/>
      <c r="AR184" s="77"/>
      <c r="AS184" s="77"/>
      <c r="AT184" s="77"/>
      <c r="AU184" s="77"/>
      <c r="AV184" s="77"/>
      <c r="AW184" s="77"/>
      <c r="AX184" s="77"/>
      <c r="AY184" s="77"/>
      <c r="AZ184" s="77"/>
      <c r="BA184" s="77"/>
      <c r="BB184" s="77"/>
      <c r="BC184" s="77"/>
      <c r="BD184" s="77"/>
      <c r="BE184" s="77"/>
      <c r="BF184" s="77"/>
      <c r="BG184" s="77"/>
      <c r="BH184" s="77"/>
    </row>
    <row r="185" spans="1:60" x14ac:dyDescent="0.25">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7"/>
      <c r="AR185" s="77"/>
      <c r="AS185" s="77"/>
      <c r="AT185" s="77"/>
      <c r="AU185" s="77"/>
      <c r="AV185" s="77"/>
      <c r="AW185" s="77"/>
      <c r="AX185" s="77"/>
      <c r="AY185" s="77"/>
      <c r="AZ185" s="77"/>
      <c r="BA185" s="77"/>
      <c r="BB185" s="77"/>
      <c r="BC185" s="77"/>
      <c r="BD185" s="77"/>
      <c r="BE185" s="77"/>
      <c r="BF185" s="77"/>
      <c r="BG185" s="77"/>
      <c r="BH185" s="77"/>
    </row>
    <row r="186" spans="1:60" x14ac:dyDescent="0.25">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7"/>
      <c r="AR186" s="77"/>
      <c r="AS186" s="77"/>
      <c r="AT186" s="77"/>
      <c r="AU186" s="77"/>
      <c r="AV186" s="77"/>
      <c r="AW186" s="77"/>
      <c r="AX186" s="77"/>
      <c r="AY186" s="77"/>
      <c r="AZ186" s="77"/>
      <c r="BA186" s="77"/>
      <c r="BB186" s="77"/>
      <c r="BC186" s="77"/>
      <c r="BD186" s="77"/>
      <c r="BE186" s="77"/>
      <c r="BF186" s="77"/>
      <c r="BG186" s="77"/>
      <c r="BH186" s="77"/>
    </row>
    <row r="187" spans="1:60" x14ac:dyDescent="0.25">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c r="AT187" s="77"/>
      <c r="AU187" s="77"/>
      <c r="AV187" s="77"/>
      <c r="AW187" s="77"/>
      <c r="AX187" s="77"/>
      <c r="AY187" s="77"/>
      <c r="AZ187" s="77"/>
      <c r="BA187" s="77"/>
      <c r="BB187" s="77"/>
      <c r="BC187" s="77"/>
      <c r="BD187" s="77"/>
      <c r="BE187" s="77"/>
      <c r="BF187" s="77"/>
      <c r="BG187" s="77"/>
      <c r="BH187" s="77"/>
    </row>
    <row r="188" spans="1:60" x14ac:dyDescent="0.25">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c r="AW188" s="77"/>
      <c r="AX188" s="77"/>
      <c r="AY188" s="77"/>
      <c r="AZ188" s="77"/>
      <c r="BA188" s="77"/>
      <c r="BB188" s="77"/>
      <c r="BC188" s="77"/>
      <c r="BD188" s="77"/>
      <c r="BE188" s="77"/>
      <c r="BF188" s="77"/>
      <c r="BG188" s="77"/>
      <c r="BH188" s="77"/>
    </row>
    <row r="189" spans="1:60" x14ac:dyDescent="0.25">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row>
    <row r="190" spans="1:60" x14ac:dyDescent="0.25">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AR190" s="77"/>
      <c r="AS190" s="77"/>
      <c r="AT190" s="77"/>
      <c r="AU190" s="77"/>
      <c r="AV190" s="77"/>
      <c r="AW190" s="77"/>
      <c r="AX190" s="77"/>
      <c r="AY190" s="77"/>
      <c r="AZ190" s="77"/>
      <c r="BA190" s="77"/>
      <c r="BB190" s="77"/>
      <c r="BC190" s="77"/>
      <c r="BD190" s="77"/>
      <c r="BE190" s="77"/>
      <c r="BF190" s="77"/>
      <c r="BG190" s="77"/>
      <c r="BH190" s="77"/>
    </row>
    <row r="191" spans="1:60" x14ac:dyDescent="0.25">
      <c r="A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c r="AS191" s="77"/>
      <c r="AT191" s="77"/>
      <c r="AU191" s="77"/>
      <c r="AV191" s="77"/>
      <c r="AW191" s="77"/>
      <c r="AX191" s="77"/>
      <c r="AY191" s="77"/>
      <c r="AZ191" s="77"/>
      <c r="BA191" s="77"/>
      <c r="BB191" s="77"/>
      <c r="BC191" s="77"/>
      <c r="BD191" s="77"/>
      <c r="BE191" s="77"/>
      <c r="BF191" s="77"/>
      <c r="BG191" s="77"/>
      <c r="BH191" s="77"/>
    </row>
    <row r="192" spans="1:60" x14ac:dyDescent="0.25">
      <c r="A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c r="AN192" s="77"/>
      <c r="AO192" s="77"/>
      <c r="AP192" s="77"/>
      <c r="AQ192" s="77"/>
      <c r="AR192" s="77"/>
      <c r="AS192" s="77"/>
      <c r="AT192" s="77"/>
      <c r="AU192" s="77"/>
      <c r="AV192" s="77"/>
      <c r="AW192" s="77"/>
      <c r="AX192" s="77"/>
      <c r="AY192" s="77"/>
      <c r="AZ192" s="77"/>
      <c r="BA192" s="77"/>
      <c r="BB192" s="77"/>
      <c r="BC192" s="77"/>
      <c r="BD192" s="77"/>
      <c r="BE192" s="77"/>
      <c r="BF192" s="77"/>
      <c r="BG192" s="77"/>
      <c r="BH192" s="77"/>
    </row>
    <row r="193" spans="1:60" x14ac:dyDescent="0.25">
      <c r="A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c r="AN193" s="77"/>
      <c r="AO193" s="77"/>
      <c r="AP193" s="77"/>
      <c r="AQ193" s="77"/>
      <c r="AR193" s="77"/>
      <c r="AS193" s="77"/>
      <c r="AT193" s="77"/>
      <c r="AU193" s="77"/>
      <c r="AV193" s="77"/>
      <c r="AW193" s="77"/>
      <c r="AX193" s="77"/>
      <c r="AY193" s="77"/>
      <c r="AZ193" s="77"/>
      <c r="BA193" s="77"/>
      <c r="BB193" s="77"/>
      <c r="BC193" s="77"/>
      <c r="BD193" s="77"/>
      <c r="BE193" s="77"/>
      <c r="BF193" s="77"/>
      <c r="BG193" s="77"/>
      <c r="BH193" s="77"/>
    </row>
    <row r="194" spans="1:60" x14ac:dyDescent="0.25">
      <c r="A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c r="AN194" s="77"/>
      <c r="AO194" s="77"/>
      <c r="AP194" s="77"/>
      <c r="AQ194" s="77"/>
      <c r="AR194" s="77"/>
      <c r="AS194" s="77"/>
      <c r="AT194" s="77"/>
      <c r="AU194" s="77"/>
      <c r="AV194" s="77"/>
      <c r="AW194" s="77"/>
      <c r="AX194" s="77"/>
      <c r="AY194" s="77"/>
      <c r="AZ194" s="77"/>
      <c r="BA194" s="77"/>
      <c r="BB194" s="77"/>
      <c r="BC194" s="77"/>
      <c r="BD194" s="77"/>
      <c r="BE194" s="77"/>
      <c r="BF194" s="77"/>
      <c r="BG194" s="77"/>
      <c r="BH194" s="77"/>
    </row>
    <row r="195" spans="1:60" x14ac:dyDescent="0.25">
      <c r="A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c r="AN195" s="77"/>
      <c r="AO195" s="77"/>
      <c r="AP195" s="77"/>
      <c r="AQ195" s="77"/>
      <c r="AR195" s="77"/>
      <c r="AS195" s="77"/>
      <c r="AT195" s="77"/>
      <c r="AU195" s="77"/>
      <c r="AV195" s="77"/>
      <c r="AW195" s="77"/>
      <c r="AX195" s="77"/>
      <c r="AY195" s="77"/>
      <c r="AZ195" s="77"/>
      <c r="BA195" s="77"/>
      <c r="BB195" s="77"/>
      <c r="BC195" s="77"/>
      <c r="BD195" s="77"/>
      <c r="BE195" s="77"/>
      <c r="BF195" s="77"/>
      <c r="BG195" s="77"/>
      <c r="BH195" s="77"/>
    </row>
    <row r="196" spans="1:60" x14ac:dyDescent="0.25">
      <c r="A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c r="AN196" s="77"/>
      <c r="AO196" s="77"/>
      <c r="AP196" s="77"/>
      <c r="AQ196" s="77"/>
      <c r="AR196" s="77"/>
      <c r="AS196" s="77"/>
      <c r="AT196" s="77"/>
      <c r="AU196" s="77"/>
      <c r="AV196" s="77"/>
      <c r="AW196" s="77"/>
      <c r="AX196" s="77"/>
      <c r="AY196" s="77"/>
      <c r="AZ196" s="77"/>
      <c r="BA196" s="77"/>
      <c r="BB196" s="77"/>
      <c r="BC196" s="77"/>
      <c r="BD196" s="77"/>
      <c r="BE196" s="77"/>
      <c r="BF196" s="77"/>
      <c r="BG196" s="77"/>
      <c r="BH196" s="77"/>
    </row>
    <row r="197" spans="1:60" x14ac:dyDescent="0.25">
      <c r="A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c r="AS197" s="77"/>
      <c r="AT197" s="77"/>
      <c r="AU197" s="77"/>
      <c r="AV197" s="77"/>
      <c r="AW197" s="77"/>
      <c r="AX197" s="77"/>
      <c r="AY197" s="77"/>
      <c r="AZ197" s="77"/>
      <c r="BA197" s="77"/>
      <c r="BB197" s="77"/>
      <c r="BC197" s="77"/>
      <c r="BD197" s="77"/>
      <c r="BE197" s="77"/>
      <c r="BF197" s="77"/>
      <c r="BG197" s="77"/>
      <c r="BH197" s="77"/>
    </row>
    <row r="198" spans="1:60" x14ac:dyDescent="0.25">
      <c r="A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c r="AN198" s="77"/>
      <c r="AO198" s="77"/>
      <c r="AP198" s="77"/>
      <c r="AQ198" s="77"/>
      <c r="AR198" s="77"/>
      <c r="AS198" s="77"/>
      <c r="AT198" s="77"/>
      <c r="AU198" s="77"/>
      <c r="AV198" s="77"/>
      <c r="AW198" s="77"/>
      <c r="AX198" s="77"/>
      <c r="AY198" s="77"/>
      <c r="AZ198" s="77"/>
      <c r="BA198" s="77"/>
      <c r="BB198" s="77"/>
      <c r="BC198" s="77"/>
      <c r="BD198" s="77"/>
      <c r="BE198" s="77"/>
      <c r="BF198" s="77"/>
      <c r="BG198" s="77"/>
      <c r="BH198" s="77"/>
    </row>
    <row r="199" spans="1:60" x14ac:dyDescent="0.25">
      <c r="A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c r="AS199" s="77"/>
      <c r="AT199" s="77"/>
      <c r="AU199" s="77"/>
      <c r="AV199" s="77"/>
      <c r="AW199" s="77"/>
      <c r="AX199" s="77"/>
      <c r="AY199" s="77"/>
      <c r="AZ199" s="77"/>
      <c r="BA199" s="77"/>
      <c r="BB199" s="77"/>
      <c r="BC199" s="77"/>
      <c r="BD199" s="77"/>
      <c r="BE199" s="77"/>
      <c r="BF199" s="77"/>
      <c r="BG199" s="77"/>
      <c r="BH199" s="77"/>
    </row>
    <row r="200" spans="1:60" x14ac:dyDescent="0.25">
      <c r="A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77"/>
      <c r="AO200" s="77"/>
      <c r="AP200" s="77"/>
      <c r="AQ200" s="77"/>
      <c r="AR200" s="77"/>
      <c r="AS200" s="77"/>
      <c r="AT200" s="77"/>
      <c r="AU200" s="77"/>
      <c r="AV200" s="77"/>
      <c r="AW200" s="77"/>
      <c r="AX200" s="77"/>
      <c r="AY200" s="77"/>
      <c r="AZ200" s="77"/>
      <c r="BA200" s="77"/>
      <c r="BB200" s="77"/>
      <c r="BC200" s="77"/>
      <c r="BD200" s="77"/>
      <c r="BE200" s="77"/>
      <c r="BF200" s="77"/>
      <c r="BG200" s="77"/>
      <c r="BH200" s="77"/>
    </row>
    <row r="201" spans="1:60" x14ac:dyDescent="0.25">
      <c r="A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c r="AN201" s="77"/>
      <c r="AO201" s="77"/>
      <c r="AP201" s="77"/>
      <c r="AQ201" s="77"/>
      <c r="AR201" s="77"/>
      <c r="AS201" s="77"/>
      <c r="AT201" s="77"/>
      <c r="AU201" s="77"/>
      <c r="AV201" s="77"/>
      <c r="AW201" s="77"/>
      <c r="AX201" s="77"/>
      <c r="AY201" s="77"/>
      <c r="AZ201" s="77"/>
      <c r="BA201" s="77"/>
      <c r="BB201" s="77"/>
      <c r="BC201" s="77"/>
      <c r="BD201" s="77"/>
      <c r="BE201" s="77"/>
      <c r="BF201" s="77"/>
      <c r="BG201" s="77"/>
      <c r="BH201" s="77"/>
    </row>
    <row r="202" spans="1:60" x14ac:dyDescent="0.25">
      <c r="A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c r="AN202" s="77"/>
      <c r="AO202" s="77"/>
      <c r="AP202" s="77"/>
      <c r="AQ202" s="77"/>
      <c r="AR202" s="77"/>
      <c r="AS202" s="77"/>
      <c r="AT202" s="77"/>
      <c r="AU202" s="77"/>
      <c r="AV202" s="77"/>
      <c r="AW202" s="77"/>
      <c r="AX202" s="77"/>
      <c r="AY202" s="77"/>
      <c r="AZ202" s="77"/>
      <c r="BA202" s="77"/>
      <c r="BB202" s="77"/>
      <c r="BC202" s="77"/>
      <c r="BD202" s="77"/>
      <c r="BE202" s="77"/>
      <c r="BF202" s="77"/>
      <c r="BG202" s="77"/>
      <c r="BH202" s="77"/>
    </row>
    <row r="203" spans="1:60" x14ac:dyDescent="0.25">
      <c r="A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c r="AN203" s="77"/>
      <c r="AO203" s="77"/>
      <c r="AP203" s="77"/>
      <c r="AQ203" s="77"/>
      <c r="AR203" s="77"/>
      <c r="AS203" s="77"/>
      <c r="AT203" s="77"/>
      <c r="AU203" s="77"/>
      <c r="AV203" s="77"/>
      <c r="AW203" s="77"/>
      <c r="AX203" s="77"/>
      <c r="AY203" s="77"/>
      <c r="AZ203" s="77"/>
      <c r="BA203" s="77"/>
      <c r="BB203" s="77"/>
      <c r="BC203" s="77"/>
      <c r="BD203" s="77"/>
      <c r="BE203" s="77"/>
      <c r="BF203" s="77"/>
      <c r="BG203" s="77"/>
      <c r="BH203" s="77"/>
    </row>
    <row r="204" spans="1:60" x14ac:dyDescent="0.25">
      <c r="A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c r="AN204" s="77"/>
      <c r="AO204" s="77"/>
      <c r="AP204" s="77"/>
      <c r="AQ204" s="77"/>
      <c r="AR204" s="77"/>
      <c r="AS204" s="77"/>
      <c r="AT204" s="77"/>
      <c r="AU204" s="77"/>
      <c r="AV204" s="77"/>
      <c r="AW204" s="77"/>
      <c r="AX204" s="77"/>
      <c r="AY204" s="77"/>
      <c r="AZ204" s="77"/>
      <c r="BA204" s="77"/>
      <c r="BB204" s="77"/>
      <c r="BC204" s="77"/>
      <c r="BD204" s="77"/>
      <c r="BE204" s="77"/>
      <c r="BF204" s="77"/>
      <c r="BG204" s="77"/>
      <c r="BH204" s="77"/>
    </row>
    <row r="205" spans="1:60" x14ac:dyDescent="0.25">
      <c r="A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c r="AN205" s="77"/>
      <c r="AO205" s="77"/>
      <c r="AP205" s="77"/>
      <c r="AQ205" s="77"/>
      <c r="AR205" s="77"/>
      <c r="AS205" s="77"/>
      <c r="AT205" s="77"/>
      <c r="AU205" s="77"/>
      <c r="AV205" s="77"/>
      <c r="AW205" s="77"/>
      <c r="AX205" s="77"/>
      <c r="AY205" s="77"/>
      <c r="AZ205" s="77"/>
      <c r="BA205" s="77"/>
      <c r="BB205" s="77"/>
      <c r="BC205" s="77"/>
      <c r="BD205" s="77"/>
      <c r="BE205" s="77"/>
      <c r="BF205" s="77"/>
      <c r="BG205" s="77"/>
      <c r="BH205" s="77"/>
    </row>
    <row r="206" spans="1:60" x14ac:dyDescent="0.25">
      <c r="A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c r="AQ206" s="77"/>
      <c r="AR206" s="77"/>
      <c r="AS206" s="77"/>
      <c r="AT206" s="77"/>
      <c r="AU206" s="77"/>
      <c r="AV206" s="77"/>
      <c r="AW206" s="77"/>
      <c r="AX206" s="77"/>
      <c r="AY206" s="77"/>
      <c r="AZ206" s="77"/>
      <c r="BA206" s="77"/>
      <c r="BB206" s="77"/>
      <c r="BC206" s="77"/>
      <c r="BD206" s="77"/>
      <c r="BE206" s="77"/>
      <c r="BF206" s="77"/>
      <c r="BG206" s="77"/>
      <c r="BH206" s="77"/>
    </row>
    <row r="207" spans="1:60" x14ac:dyDescent="0.25">
      <c r="A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c r="AS207" s="77"/>
      <c r="AT207" s="77"/>
      <c r="AU207" s="77"/>
      <c r="AV207" s="77"/>
      <c r="AW207" s="77"/>
      <c r="AX207" s="77"/>
      <c r="AY207" s="77"/>
      <c r="AZ207" s="77"/>
      <c r="BA207" s="77"/>
      <c r="BB207" s="77"/>
      <c r="BC207" s="77"/>
      <c r="BD207" s="77"/>
      <c r="BE207" s="77"/>
      <c r="BF207" s="77"/>
      <c r="BG207" s="77"/>
      <c r="BH207" s="77"/>
    </row>
    <row r="208" spans="1:60" x14ac:dyDescent="0.25">
      <c r="A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c r="AS208" s="77"/>
      <c r="AT208" s="77"/>
      <c r="AU208" s="77"/>
      <c r="AV208" s="77"/>
      <c r="AW208" s="77"/>
      <c r="AX208" s="77"/>
      <c r="AY208" s="77"/>
      <c r="AZ208" s="77"/>
      <c r="BA208" s="77"/>
      <c r="BB208" s="77"/>
      <c r="BC208" s="77"/>
      <c r="BD208" s="77"/>
      <c r="BE208" s="77"/>
      <c r="BF208" s="77"/>
      <c r="BG208" s="77"/>
      <c r="BH208" s="77"/>
    </row>
    <row r="209" spans="1:60" x14ac:dyDescent="0.25">
      <c r="A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c r="AS209" s="77"/>
      <c r="AT209" s="77"/>
      <c r="AU209" s="77"/>
      <c r="AV209" s="77"/>
      <c r="AW209" s="77"/>
      <c r="AX209" s="77"/>
      <c r="AY209" s="77"/>
      <c r="AZ209" s="77"/>
      <c r="BA209" s="77"/>
      <c r="BB209" s="77"/>
      <c r="BC209" s="77"/>
      <c r="BD209" s="77"/>
      <c r="BE209" s="77"/>
      <c r="BF209" s="77"/>
      <c r="BG209" s="77"/>
      <c r="BH209" s="77"/>
    </row>
    <row r="210" spans="1:60" x14ac:dyDescent="0.25">
      <c r="A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c r="AQ210" s="77"/>
      <c r="AR210" s="77"/>
      <c r="AS210" s="77"/>
      <c r="AT210" s="77"/>
      <c r="AU210" s="77"/>
      <c r="AV210" s="77"/>
      <c r="AW210" s="77"/>
      <c r="AX210" s="77"/>
      <c r="AY210" s="77"/>
      <c r="AZ210" s="77"/>
      <c r="BA210" s="77"/>
      <c r="BB210" s="77"/>
      <c r="BC210" s="77"/>
      <c r="BD210" s="77"/>
      <c r="BE210" s="77"/>
      <c r="BF210" s="77"/>
      <c r="BG210" s="77"/>
      <c r="BH210" s="77"/>
    </row>
    <row r="211" spans="1:60" x14ac:dyDescent="0.25">
      <c r="A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c r="AT211" s="77"/>
      <c r="AU211" s="77"/>
      <c r="AV211" s="77"/>
      <c r="AW211" s="77"/>
      <c r="AX211" s="77"/>
      <c r="AY211" s="77"/>
      <c r="AZ211" s="77"/>
      <c r="BA211" s="77"/>
      <c r="BB211" s="77"/>
      <c r="BC211" s="77"/>
      <c r="BD211" s="77"/>
      <c r="BE211" s="77"/>
      <c r="BF211" s="77"/>
      <c r="BG211" s="77"/>
      <c r="BH211" s="77"/>
    </row>
    <row r="212" spans="1:60" x14ac:dyDescent="0.25">
      <c r="A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c r="AS212" s="77"/>
      <c r="AT212" s="77"/>
      <c r="AU212" s="77"/>
      <c r="AV212" s="77"/>
      <c r="AW212" s="77"/>
      <c r="AX212" s="77"/>
      <c r="AY212" s="77"/>
      <c r="AZ212" s="77"/>
      <c r="BA212" s="77"/>
      <c r="BB212" s="77"/>
      <c r="BC212" s="77"/>
      <c r="BD212" s="77"/>
      <c r="BE212" s="77"/>
      <c r="BF212" s="77"/>
      <c r="BG212" s="77"/>
      <c r="BH212" s="77"/>
    </row>
    <row r="213" spans="1:60" x14ac:dyDescent="0.25">
      <c r="A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c r="BG213" s="77"/>
      <c r="BH213" s="77"/>
    </row>
    <row r="214" spans="1:60" x14ac:dyDescent="0.25">
      <c r="A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c r="AS214" s="77"/>
      <c r="AT214" s="77"/>
      <c r="AU214" s="77"/>
      <c r="AV214" s="77"/>
      <c r="AW214" s="77"/>
      <c r="AX214" s="77"/>
      <c r="AY214" s="77"/>
      <c r="AZ214" s="77"/>
      <c r="BA214" s="77"/>
      <c r="BB214" s="77"/>
      <c r="BC214" s="77"/>
      <c r="BD214" s="77"/>
      <c r="BE214" s="77"/>
      <c r="BF214" s="77"/>
      <c r="BG214" s="77"/>
      <c r="BH214" s="77"/>
    </row>
    <row r="215" spans="1:60" x14ac:dyDescent="0.25">
      <c r="A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c r="AW215" s="77"/>
      <c r="AX215" s="77"/>
      <c r="AY215" s="77"/>
      <c r="AZ215" s="77"/>
      <c r="BA215" s="77"/>
      <c r="BB215" s="77"/>
      <c r="BC215" s="77"/>
      <c r="BD215" s="77"/>
      <c r="BE215" s="77"/>
      <c r="BF215" s="77"/>
      <c r="BG215" s="77"/>
      <c r="BH215" s="77"/>
    </row>
    <row r="216" spans="1:60" x14ac:dyDescent="0.25">
      <c r="A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c r="BA216" s="77"/>
      <c r="BB216" s="77"/>
      <c r="BC216" s="77"/>
      <c r="BD216" s="77"/>
      <c r="BE216" s="77"/>
      <c r="BF216" s="77"/>
      <c r="BG216" s="77"/>
      <c r="BH216" s="77"/>
    </row>
    <row r="217" spans="1:60" x14ac:dyDescent="0.25">
      <c r="A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c r="AW217" s="77"/>
      <c r="AX217" s="77"/>
      <c r="AY217" s="77"/>
      <c r="AZ217" s="77"/>
      <c r="BA217" s="77"/>
      <c r="BB217" s="77"/>
      <c r="BC217" s="77"/>
      <c r="BD217" s="77"/>
      <c r="BE217" s="77"/>
      <c r="BF217" s="77"/>
      <c r="BG217" s="77"/>
      <c r="BH217" s="77"/>
    </row>
    <row r="218" spans="1:60" x14ac:dyDescent="0.25">
      <c r="A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c r="AW218" s="77"/>
      <c r="AX218" s="77"/>
      <c r="AY218" s="77"/>
      <c r="AZ218" s="77"/>
      <c r="BA218" s="77"/>
      <c r="BB218" s="77"/>
      <c r="BC218" s="77"/>
      <c r="BD218" s="77"/>
      <c r="BE218" s="77"/>
      <c r="BF218" s="77"/>
      <c r="BG218" s="77"/>
      <c r="BH218" s="77"/>
    </row>
    <row r="219" spans="1:60" x14ac:dyDescent="0.25">
      <c r="A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77"/>
      <c r="AW219" s="77"/>
      <c r="AX219" s="77"/>
      <c r="AY219" s="77"/>
      <c r="AZ219" s="77"/>
      <c r="BA219" s="77"/>
      <c r="BB219" s="77"/>
      <c r="BC219" s="77"/>
      <c r="BD219" s="77"/>
      <c r="BE219" s="77"/>
      <c r="BF219" s="77"/>
      <c r="BG219" s="77"/>
      <c r="BH219" s="77"/>
    </row>
    <row r="220" spans="1:60" x14ac:dyDescent="0.25">
      <c r="A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c r="BA220" s="77"/>
      <c r="BB220" s="77"/>
      <c r="BC220" s="77"/>
      <c r="BD220" s="77"/>
      <c r="BE220" s="77"/>
      <c r="BF220" s="77"/>
      <c r="BG220" s="77"/>
      <c r="BH220" s="77"/>
    </row>
    <row r="221" spans="1:60" x14ac:dyDescent="0.25">
      <c r="A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77"/>
      <c r="AW221" s="77"/>
      <c r="AX221" s="77"/>
      <c r="AY221" s="77"/>
      <c r="AZ221" s="77"/>
      <c r="BA221" s="77"/>
      <c r="BB221" s="77"/>
      <c r="BC221" s="77"/>
      <c r="BD221" s="77"/>
      <c r="BE221" s="77"/>
      <c r="BF221" s="77"/>
      <c r="BG221" s="77"/>
      <c r="BH221" s="77"/>
    </row>
    <row r="222" spans="1:60" x14ac:dyDescent="0.25">
      <c r="A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c r="AS222" s="77"/>
      <c r="AT222" s="77"/>
      <c r="AU222" s="77"/>
      <c r="AV222" s="77"/>
      <c r="AW222" s="77"/>
      <c r="AX222" s="77"/>
      <c r="AY222" s="77"/>
      <c r="AZ222" s="77"/>
      <c r="BA222" s="77"/>
      <c r="BB222" s="77"/>
      <c r="BC222" s="77"/>
      <c r="BD222" s="77"/>
      <c r="BE222" s="77"/>
      <c r="BF222" s="77"/>
      <c r="BG222" s="77"/>
      <c r="BH222" s="77"/>
    </row>
    <row r="223" spans="1:60" x14ac:dyDescent="0.25">
      <c r="A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c r="AW223" s="77"/>
      <c r="AX223" s="77"/>
      <c r="AY223" s="77"/>
      <c r="AZ223" s="77"/>
      <c r="BA223" s="77"/>
      <c r="BB223" s="77"/>
      <c r="BC223" s="77"/>
      <c r="BD223" s="77"/>
      <c r="BE223" s="77"/>
      <c r="BF223" s="77"/>
      <c r="BG223" s="77"/>
      <c r="BH223" s="77"/>
    </row>
    <row r="224" spans="1:60" x14ac:dyDescent="0.25">
      <c r="A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c r="AS224" s="77"/>
      <c r="AT224" s="77"/>
      <c r="AU224" s="77"/>
      <c r="AV224" s="77"/>
      <c r="AW224" s="77"/>
      <c r="AX224" s="77"/>
      <c r="AY224" s="77"/>
      <c r="AZ224" s="77"/>
      <c r="BA224" s="77"/>
      <c r="BB224" s="77"/>
      <c r="BC224" s="77"/>
      <c r="BD224" s="77"/>
      <c r="BE224" s="77"/>
      <c r="BF224" s="77"/>
      <c r="BG224" s="77"/>
      <c r="BH224" s="77"/>
    </row>
    <row r="225" spans="1:60" x14ac:dyDescent="0.25">
      <c r="A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c r="AQ225" s="77"/>
      <c r="AR225" s="77"/>
      <c r="AS225" s="77"/>
      <c r="AT225" s="77"/>
      <c r="AU225" s="77"/>
      <c r="AV225" s="77"/>
      <c r="AW225" s="77"/>
      <c r="AX225" s="77"/>
      <c r="AY225" s="77"/>
      <c r="AZ225" s="77"/>
      <c r="BA225" s="77"/>
      <c r="BB225" s="77"/>
      <c r="BC225" s="77"/>
      <c r="BD225" s="77"/>
      <c r="BE225" s="77"/>
      <c r="BF225" s="77"/>
      <c r="BG225" s="77"/>
      <c r="BH225" s="77"/>
    </row>
    <row r="226" spans="1:60" x14ac:dyDescent="0.25">
      <c r="A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c r="AQ226" s="77"/>
      <c r="AR226" s="77"/>
      <c r="AS226" s="77"/>
      <c r="AT226" s="77"/>
      <c r="AU226" s="77"/>
      <c r="AV226" s="77"/>
      <c r="AW226" s="77"/>
      <c r="AX226" s="77"/>
      <c r="AY226" s="77"/>
      <c r="AZ226" s="77"/>
      <c r="BA226" s="77"/>
      <c r="BB226" s="77"/>
      <c r="BC226" s="77"/>
      <c r="BD226" s="77"/>
      <c r="BE226" s="77"/>
      <c r="BF226" s="77"/>
      <c r="BG226" s="77"/>
      <c r="BH226" s="77"/>
    </row>
    <row r="227" spans="1:60" x14ac:dyDescent="0.25">
      <c r="A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c r="AW227" s="77"/>
      <c r="AX227" s="77"/>
      <c r="AY227" s="77"/>
      <c r="AZ227" s="77"/>
      <c r="BA227" s="77"/>
      <c r="BB227" s="77"/>
      <c r="BC227" s="77"/>
      <c r="BD227" s="77"/>
      <c r="BE227" s="77"/>
      <c r="BF227" s="77"/>
      <c r="BG227" s="77"/>
      <c r="BH227" s="77"/>
    </row>
    <row r="228" spans="1:60" x14ac:dyDescent="0.25">
      <c r="A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c r="BF228" s="77"/>
      <c r="BG228" s="77"/>
      <c r="BH228" s="77"/>
    </row>
    <row r="229" spans="1:60" x14ac:dyDescent="0.25">
      <c r="A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c r="AW229" s="77"/>
      <c r="AX229" s="77"/>
      <c r="AY229" s="77"/>
      <c r="AZ229" s="77"/>
      <c r="BA229" s="77"/>
      <c r="BB229" s="77"/>
      <c r="BC229" s="77"/>
      <c r="BD229" s="77"/>
      <c r="BE229" s="77"/>
      <c r="BF229" s="77"/>
      <c r="BG229" s="77"/>
      <c r="BH229" s="77"/>
    </row>
    <row r="230" spans="1:60" x14ac:dyDescent="0.25">
      <c r="A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c r="AQ230" s="77"/>
      <c r="AR230" s="77"/>
      <c r="AS230" s="77"/>
      <c r="AT230" s="77"/>
      <c r="AU230" s="77"/>
      <c r="AV230" s="77"/>
      <c r="AW230" s="77"/>
      <c r="AX230" s="77"/>
      <c r="AY230" s="77"/>
      <c r="AZ230" s="77"/>
      <c r="BA230" s="77"/>
      <c r="BB230" s="77"/>
      <c r="BC230" s="77"/>
      <c r="BD230" s="77"/>
      <c r="BE230" s="77"/>
      <c r="BF230" s="77"/>
      <c r="BG230" s="77"/>
      <c r="BH230" s="77"/>
    </row>
    <row r="231" spans="1:60" x14ac:dyDescent="0.25">
      <c r="A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P231" s="77"/>
      <c r="AQ231" s="77"/>
      <c r="AR231" s="77"/>
      <c r="AS231" s="77"/>
      <c r="AT231" s="77"/>
      <c r="AU231" s="77"/>
      <c r="AV231" s="77"/>
      <c r="AW231" s="77"/>
      <c r="AX231" s="77"/>
      <c r="AY231" s="77"/>
      <c r="AZ231" s="77"/>
      <c r="BA231" s="77"/>
      <c r="BB231" s="77"/>
      <c r="BC231" s="77"/>
      <c r="BD231" s="77"/>
      <c r="BE231" s="77"/>
      <c r="BF231" s="77"/>
      <c r="BG231" s="77"/>
      <c r="BH231" s="77"/>
    </row>
    <row r="232" spans="1:60" x14ac:dyDescent="0.25">
      <c r="A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c r="BF232" s="77"/>
      <c r="BG232" s="77"/>
      <c r="BH232" s="77"/>
    </row>
    <row r="233" spans="1:60" x14ac:dyDescent="0.25">
      <c r="A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c r="BF233" s="77"/>
      <c r="BG233" s="77"/>
      <c r="BH233" s="77"/>
    </row>
    <row r="234" spans="1:60" x14ac:dyDescent="0.25">
      <c r="A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c r="AW234" s="77"/>
      <c r="AX234" s="77"/>
      <c r="AY234" s="77"/>
      <c r="AZ234" s="77"/>
      <c r="BA234" s="77"/>
      <c r="BB234" s="77"/>
      <c r="BC234" s="77"/>
      <c r="BD234" s="77"/>
      <c r="BE234" s="77"/>
      <c r="BF234" s="77"/>
      <c r="BG234" s="77"/>
      <c r="BH234" s="77"/>
    </row>
    <row r="235" spans="1:60" x14ac:dyDescent="0.25">
      <c r="A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c r="AS235" s="77"/>
      <c r="AT235" s="77"/>
      <c r="AU235" s="77"/>
      <c r="AV235" s="77"/>
      <c r="AW235" s="77"/>
      <c r="AX235" s="77"/>
      <c r="AY235" s="77"/>
      <c r="AZ235" s="77"/>
      <c r="BA235" s="77"/>
      <c r="BB235" s="77"/>
      <c r="BC235" s="77"/>
      <c r="BD235" s="77"/>
      <c r="BE235" s="77"/>
      <c r="BF235" s="77"/>
      <c r="BG235" s="77"/>
      <c r="BH235" s="77"/>
    </row>
    <row r="236" spans="1:60" x14ac:dyDescent="0.25">
      <c r="A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c r="AQ236" s="77"/>
      <c r="AR236" s="77"/>
      <c r="AS236" s="77"/>
      <c r="AT236" s="77"/>
      <c r="AU236" s="77"/>
      <c r="AV236" s="77"/>
      <c r="AW236" s="77"/>
      <c r="AX236" s="77"/>
      <c r="AY236" s="77"/>
      <c r="AZ236" s="77"/>
      <c r="BA236" s="77"/>
      <c r="BB236" s="77"/>
      <c r="BC236" s="77"/>
      <c r="BD236" s="77"/>
      <c r="BE236" s="77"/>
      <c r="BF236" s="77"/>
      <c r="BG236" s="77"/>
      <c r="BH236" s="77"/>
    </row>
    <row r="237" spans="1:60" x14ac:dyDescent="0.25">
      <c r="A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77"/>
      <c r="AN237" s="77"/>
      <c r="AO237" s="77"/>
      <c r="AP237" s="77"/>
      <c r="AQ237" s="77"/>
      <c r="AR237" s="77"/>
      <c r="AS237" s="77"/>
      <c r="AT237" s="77"/>
      <c r="AU237" s="77"/>
      <c r="AV237" s="77"/>
      <c r="AW237" s="77"/>
      <c r="AX237" s="77"/>
      <c r="AY237" s="77"/>
      <c r="AZ237" s="77"/>
      <c r="BA237" s="77"/>
      <c r="BB237" s="77"/>
      <c r="BC237" s="77"/>
      <c r="BD237" s="77"/>
      <c r="BE237" s="77"/>
      <c r="BF237" s="77"/>
      <c r="BG237" s="77"/>
      <c r="BH237" s="77"/>
    </row>
    <row r="238" spans="1:60" x14ac:dyDescent="0.25">
      <c r="A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77"/>
      <c r="AN238" s="77"/>
      <c r="AO238" s="77"/>
      <c r="AP238" s="77"/>
      <c r="AQ238" s="77"/>
      <c r="AR238" s="77"/>
      <c r="AS238" s="77"/>
      <c r="AT238" s="77"/>
      <c r="AU238" s="77"/>
      <c r="AV238" s="77"/>
      <c r="AW238" s="77"/>
      <c r="AX238" s="77"/>
      <c r="AY238" s="77"/>
      <c r="AZ238" s="77"/>
      <c r="BA238" s="77"/>
      <c r="BB238" s="77"/>
      <c r="BC238" s="77"/>
      <c r="BD238" s="77"/>
      <c r="BE238" s="77"/>
      <c r="BF238" s="77"/>
      <c r="BG238" s="77"/>
      <c r="BH238" s="77"/>
    </row>
    <row r="239" spans="1:60" x14ac:dyDescent="0.25">
      <c r="A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c r="AQ239" s="77"/>
      <c r="AR239" s="77"/>
      <c r="AS239" s="77"/>
      <c r="AT239" s="77"/>
      <c r="AU239" s="77"/>
      <c r="AV239" s="77"/>
      <c r="AW239" s="77"/>
      <c r="AX239" s="77"/>
      <c r="AY239" s="77"/>
      <c r="AZ239" s="77"/>
      <c r="BA239" s="77"/>
      <c r="BB239" s="77"/>
      <c r="BC239" s="77"/>
      <c r="BD239" s="77"/>
      <c r="BE239" s="77"/>
      <c r="BF239" s="77"/>
      <c r="BG239" s="77"/>
      <c r="BH239" s="77"/>
    </row>
    <row r="240" spans="1:60" x14ac:dyDescent="0.25">
      <c r="A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77"/>
      <c r="AN240" s="77"/>
      <c r="AO240" s="77"/>
      <c r="AP240" s="77"/>
      <c r="AQ240" s="77"/>
      <c r="AR240" s="77"/>
      <c r="AS240" s="77"/>
      <c r="AT240" s="77"/>
      <c r="AU240" s="77"/>
      <c r="AV240" s="77"/>
      <c r="AW240" s="77"/>
      <c r="AX240" s="77"/>
      <c r="AY240" s="77"/>
      <c r="AZ240" s="77"/>
      <c r="BA240" s="77"/>
      <c r="BB240" s="77"/>
      <c r="BC240" s="77"/>
      <c r="BD240" s="77"/>
      <c r="BE240" s="77"/>
      <c r="BF240" s="77"/>
      <c r="BG240" s="77"/>
      <c r="BH240" s="77"/>
    </row>
    <row r="241" spans="1:60" x14ac:dyDescent="0.25">
      <c r="A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c r="AQ241" s="77"/>
      <c r="AR241" s="77"/>
      <c r="AS241" s="77"/>
      <c r="AT241" s="77"/>
      <c r="AU241" s="77"/>
      <c r="AV241" s="77"/>
      <c r="AW241" s="77"/>
      <c r="AX241" s="77"/>
      <c r="AY241" s="77"/>
      <c r="AZ241" s="77"/>
      <c r="BA241" s="77"/>
      <c r="BB241" s="77"/>
      <c r="BC241" s="77"/>
      <c r="BD241" s="77"/>
      <c r="BE241" s="77"/>
      <c r="BF241" s="77"/>
      <c r="BG241" s="77"/>
      <c r="BH241" s="77"/>
    </row>
    <row r="242" spans="1:60" x14ac:dyDescent="0.25">
      <c r="A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77"/>
      <c r="AN242" s="77"/>
      <c r="AO242" s="77"/>
      <c r="AP242" s="77"/>
      <c r="AQ242" s="77"/>
      <c r="AR242" s="77"/>
      <c r="AS242" s="77"/>
      <c r="AT242" s="77"/>
      <c r="AU242" s="77"/>
      <c r="AV242" s="77"/>
      <c r="AW242" s="77"/>
      <c r="AX242" s="77"/>
      <c r="AY242" s="77"/>
      <c r="AZ242" s="77"/>
      <c r="BA242" s="77"/>
      <c r="BB242" s="77"/>
      <c r="BC242" s="77"/>
      <c r="BD242" s="77"/>
      <c r="BE242" s="77"/>
      <c r="BF242" s="77"/>
      <c r="BG242" s="77"/>
      <c r="BH242" s="77"/>
    </row>
    <row r="243" spans="1:60" x14ac:dyDescent="0.25">
      <c r="A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c r="AM243" s="77"/>
      <c r="AN243" s="77"/>
      <c r="AO243" s="77"/>
      <c r="AP243" s="77"/>
      <c r="AQ243" s="77"/>
      <c r="AR243" s="77"/>
      <c r="AS243" s="77"/>
      <c r="AT243" s="77"/>
      <c r="AU243" s="77"/>
      <c r="AV243" s="77"/>
      <c r="AW243" s="77"/>
      <c r="AX243" s="77"/>
      <c r="AY243" s="77"/>
      <c r="AZ243" s="77"/>
      <c r="BA243" s="77"/>
      <c r="BB243" s="77"/>
      <c r="BC243" s="77"/>
      <c r="BD243" s="77"/>
      <c r="BE243" s="77"/>
      <c r="BF243" s="77"/>
      <c r="BG243" s="77"/>
      <c r="BH243" s="77"/>
    </row>
    <row r="244" spans="1:60" x14ac:dyDescent="0.25">
      <c r="A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AJ244" s="77"/>
      <c r="AK244" s="77"/>
      <c r="AL244" s="77"/>
      <c r="AM244" s="77"/>
      <c r="AN244" s="77"/>
      <c r="AO244" s="77"/>
      <c r="AP244" s="77"/>
      <c r="AQ244" s="77"/>
      <c r="AR244" s="77"/>
      <c r="AS244" s="77"/>
      <c r="AT244" s="77"/>
      <c r="AU244" s="77"/>
      <c r="AV244" s="77"/>
      <c r="AW244" s="77"/>
      <c r="AX244" s="77"/>
      <c r="AY244" s="77"/>
      <c r="AZ244" s="77"/>
      <c r="BA244" s="77"/>
      <c r="BB244" s="77"/>
      <c r="BC244" s="77"/>
      <c r="BD244" s="77"/>
      <c r="BE244" s="77"/>
      <c r="BF244" s="77"/>
      <c r="BG244" s="77"/>
      <c r="BH244" s="77"/>
    </row>
    <row r="245" spans="1:60" x14ac:dyDescent="0.25">
      <c r="A245" s="77"/>
    </row>
    <row r="246" spans="1:60" x14ac:dyDescent="0.25">
      <c r="A246" s="77"/>
    </row>
    <row r="247" spans="1:60" x14ac:dyDescent="0.25">
      <c r="A247" s="77"/>
    </row>
    <row r="248" spans="1:60" x14ac:dyDescent="0.25">
      <c r="A248" s="77"/>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4" sqref="C4"/>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77"/>
      <c r="B1" s="818" t="s">
        <v>549</v>
      </c>
      <c r="C1" s="818"/>
      <c r="D1" s="818"/>
      <c r="E1" s="77"/>
      <c r="F1" s="77"/>
      <c r="G1" s="77"/>
      <c r="H1" s="77"/>
      <c r="I1" s="77"/>
      <c r="J1" s="77"/>
      <c r="K1" s="77"/>
      <c r="L1" s="77"/>
      <c r="M1" s="77"/>
      <c r="N1" s="77"/>
      <c r="O1" s="77"/>
      <c r="P1" s="77"/>
      <c r="Q1" s="77"/>
      <c r="R1" s="77"/>
      <c r="S1" s="77"/>
      <c r="T1" s="77"/>
      <c r="U1" s="77"/>
      <c r="V1" s="77"/>
      <c r="W1" s="77"/>
      <c r="X1" s="77"/>
      <c r="Y1" s="77"/>
      <c r="Z1" s="77"/>
      <c r="AA1" s="77"/>
      <c r="AB1" s="77"/>
      <c r="AC1" s="77"/>
      <c r="AD1" s="77"/>
      <c r="AE1" s="77"/>
    </row>
    <row r="2" spans="1:37" x14ac:dyDescent="0.2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row>
    <row r="3" spans="1:37" ht="25.5" x14ac:dyDescent="0.25">
      <c r="A3" s="77"/>
      <c r="B3" s="8"/>
      <c r="C3" s="9" t="s">
        <v>550</v>
      </c>
      <c r="D3" s="9" t="s">
        <v>471</v>
      </c>
      <c r="E3" s="77"/>
      <c r="F3" s="77"/>
      <c r="G3" s="77"/>
      <c r="H3" s="77"/>
      <c r="I3" s="77"/>
      <c r="J3" s="77"/>
      <c r="K3" s="77"/>
      <c r="L3" s="77"/>
      <c r="M3" s="77"/>
      <c r="N3" s="77"/>
      <c r="O3" s="77"/>
      <c r="P3" s="77"/>
      <c r="Q3" s="77"/>
      <c r="R3" s="77"/>
      <c r="S3" s="77"/>
      <c r="T3" s="77"/>
      <c r="U3" s="77"/>
      <c r="V3" s="77"/>
      <c r="W3" s="77"/>
      <c r="X3" s="77"/>
      <c r="Y3" s="77"/>
      <c r="Z3" s="77"/>
      <c r="AA3" s="77"/>
      <c r="AB3" s="77"/>
      <c r="AC3" s="77"/>
      <c r="AD3" s="77"/>
      <c r="AE3" s="77"/>
    </row>
    <row r="4" spans="1:37" ht="51" x14ac:dyDescent="0.25">
      <c r="A4" s="77"/>
      <c r="B4" s="10" t="s">
        <v>473</v>
      </c>
      <c r="C4" s="11" t="s">
        <v>551</v>
      </c>
      <c r="D4" s="12">
        <v>0.2</v>
      </c>
      <c r="E4" s="77"/>
      <c r="F4" s="77"/>
      <c r="G4" s="77"/>
      <c r="H4" s="77"/>
      <c r="I4" s="77"/>
      <c r="J4" s="77"/>
      <c r="K4" s="77"/>
      <c r="L4" s="77"/>
      <c r="M4" s="77"/>
      <c r="N4" s="77"/>
      <c r="O4" s="77"/>
      <c r="P4" s="77"/>
      <c r="Q4" s="77"/>
      <c r="R4" s="77"/>
      <c r="S4" s="77"/>
      <c r="T4" s="77"/>
      <c r="U4" s="77"/>
      <c r="V4" s="77"/>
      <c r="W4" s="77"/>
      <c r="X4" s="77"/>
      <c r="Y4" s="77"/>
      <c r="Z4" s="77"/>
      <c r="AA4" s="77"/>
      <c r="AB4" s="77"/>
      <c r="AC4" s="77"/>
      <c r="AD4" s="77"/>
      <c r="AE4" s="77"/>
    </row>
    <row r="5" spans="1:37" ht="51" x14ac:dyDescent="0.25">
      <c r="A5" s="77"/>
      <c r="B5" s="13" t="s">
        <v>552</v>
      </c>
      <c r="C5" s="14" t="s">
        <v>553</v>
      </c>
      <c r="D5" s="15">
        <v>0.4</v>
      </c>
      <c r="E5" s="77"/>
      <c r="F5" s="77"/>
      <c r="G5" s="77"/>
      <c r="H5" s="77"/>
      <c r="I5" s="77"/>
      <c r="J5" s="77"/>
      <c r="K5" s="77"/>
      <c r="L5" s="77"/>
      <c r="M5" s="77"/>
      <c r="N5" s="77"/>
      <c r="O5" s="77"/>
      <c r="P5" s="77"/>
      <c r="Q5" s="77"/>
      <c r="R5" s="77"/>
      <c r="S5" s="77"/>
      <c r="T5" s="77"/>
      <c r="U5" s="77"/>
      <c r="V5" s="77"/>
      <c r="W5" s="77"/>
      <c r="X5" s="77"/>
      <c r="Y5" s="77"/>
      <c r="Z5" s="77"/>
      <c r="AA5" s="77"/>
      <c r="AB5" s="77"/>
      <c r="AC5" s="77"/>
      <c r="AD5" s="77"/>
      <c r="AE5" s="77"/>
    </row>
    <row r="6" spans="1:37" ht="51" x14ac:dyDescent="0.25">
      <c r="A6" s="77"/>
      <c r="B6" s="16" t="s">
        <v>554</v>
      </c>
      <c r="C6" s="14" t="s">
        <v>555</v>
      </c>
      <c r="D6" s="15">
        <v>0.6</v>
      </c>
      <c r="E6" s="77"/>
      <c r="F6" s="77"/>
      <c r="G6" s="77"/>
      <c r="H6" s="77"/>
      <c r="I6" s="77"/>
      <c r="J6" s="77"/>
      <c r="K6" s="77"/>
      <c r="L6" s="77"/>
      <c r="M6" s="77"/>
      <c r="N6" s="77"/>
      <c r="O6" s="77"/>
      <c r="P6" s="77"/>
      <c r="Q6" s="77"/>
      <c r="R6" s="77"/>
      <c r="S6" s="77"/>
      <c r="T6" s="77"/>
      <c r="U6" s="77"/>
      <c r="V6" s="77"/>
      <c r="W6" s="77"/>
      <c r="X6" s="77"/>
      <c r="Y6" s="77"/>
      <c r="Z6" s="77"/>
      <c r="AA6" s="77"/>
      <c r="AB6" s="77"/>
      <c r="AC6" s="77"/>
      <c r="AD6" s="77"/>
      <c r="AE6" s="77"/>
    </row>
    <row r="7" spans="1:37" ht="76.5" x14ac:dyDescent="0.25">
      <c r="A7" s="77"/>
      <c r="B7" s="17" t="s">
        <v>556</v>
      </c>
      <c r="C7" s="14" t="s">
        <v>557</v>
      </c>
      <c r="D7" s="15">
        <v>0.8</v>
      </c>
      <c r="E7" s="77"/>
      <c r="F7" s="77"/>
      <c r="G7" s="77"/>
      <c r="H7" s="77"/>
      <c r="I7" s="77"/>
      <c r="J7" s="77"/>
      <c r="K7" s="77"/>
      <c r="L7" s="77"/>
      <c r="M7" s="77"/>
      <c r="N7" s="77"/>
      <c r="O7" s="77"/>
      <c r="P7" s="77"/>
      <c r="Q7" s="77"/>
      <c r="R7" s="77"/>
      <c r="S7" s="77"/>
      <c r="T7" s="77"/>
      <c r="U7" s="77"/>
      <c r="V7" s="77"/>
      <c r="W7" s="77"/>
      <c r="X7" s="77"/>
      <c r="Y7" s="77"/>
      <c r="Z7" s="77"/>
      <c r="AA7" s="77"/>
      <c r="AB7" s="77"/>
      <c r="AC7" s="77"/>
      <c r="AD7" s="77"/>
      <c r="AE7" s="77"/>
    </row>
    <row r="8" spans="1:37" ht="51" x14ac:dyDescent="0.25">
      <c r="A8" s="77"/>
      <c r="B8" s="18" t="s">
        <v>558</v>
      </c>
      <c r="C8" s="14" t="s">
        <v>559</v>
      </c>
      <c r="D8" s="15">
        <v>1</v>
      </c>
      <c r="E8" s="77"/>
      <c r="F8" s="77"/>
      <c r="G8" s="77"/>
      <c r="H8" s="77"/>
      <c r="I8" s="77"/>
      <c r="J8" s="77"/>
      <c r="K8" s="77"/>
      <c r="L8" s="77"/>
      <c r="M8" s="77"/>
      <c r="N8" s="77"/>
      <c r="O8" s="77"/>
      <c r="P8" s="77"/>
      <c r="Q8" s="77"/>
      <c r="R8" s="77"/>
      <c r="S8" s="77"/>
      <c r="T8" s="77"/>
      <c r="U8" s="77"/>
      <c r="V8" s="77"/>
      <c r="W8" s="77"/>
      <c r="X8" s="77"/>
      <c r="Y8" s="77"/>
      <c r="Z8" s="77"/>
      <c r="AA8" s="77"/>
      <c r="AB8" s="77"/>
      <c r="AC8" s="77"/>
      <c r="AD8" s="77"/>
      <c r="AE8" s="77"/>
    </row>
    <row r="9" spans="1:37" x14ac:dyDescent="0.25">
      <c r="A9" s="77"/>
      <c r="B9" s="101"/>
      <c r="C9" s="101"/>
      <c r="D9" s="101"/>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row>
    <row r="10" spans="1:37" ht="16.5" x14ac:dyDescent="0.25">
      <c r="A10" s="77"/>
      <c r="B10" s="102"/>
      <c r="C10" s="101"/>
      <c r="D10" s="101"/>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row>
    <row r="11" spans="1:37" x14ac:dyDescent="0.25">
      <c r="A11" s="77"/>
      <c r="B11" s="101"/>
      <c r="C11" s="101"/>
      <c r="D11" s="101"/>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row>
    <row r="12" spans="1:37" x14ac:dyDescent="0.25">
      <c r="A12" s="77"/>
      <c r="B12" s="101"/>
      <c r="C12" s="101"/>
      <c r="D12" s="101"/>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row>
    <row r="13" spans="1:37" x14ac:dyDescent="0.25">
      <c r="A13" s="77"/>
      <c r="B13" s="101"/>
      <c r="C13" s="101"/>
      <c r="D13" s="101"/>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row>
    <row r="14" spans="1:37" x14ac:dyDescent="0.25">
      <c r="A14" s="77"/>
      <c r="B14" s="101"/>
      <c r="C14" s="101"/>
      <c r="D14" s="101"/>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row>
    <row r="15" spans="1:37" x14ac:dyDescent="0.25">
      <c r="A15" s="77"/>
      <c r="B15" s="101"/>
      <c r="C15" s="101"/>
      <c r="D15" s="101"/>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row>
    <row r="16" spans="1:37" x14ac:dyDescent="0.25">
      <c r="A16" s="77"/>
      <c r="B16" s="101"/>
      <c r="C16" s="101"/>
      <c r="D16" s="101"/>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row>
    <row r="17" spans="1:37" x14ac:dyDescent="0.25">
      <c r="A17" s="77"/>
      <c r="B17" s="101"/>
      <c r="C17" s="101"/>
      <c r="D17" s="101"/>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row>
    <row r="18" spans="1:37" x14ac:dyDescent="0.25">
      <c r="A18" s="77"/>
      <c r="B18" s="101"/>
      <c r="C18" s="101"/>
      <c r="D18" s="101"/>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row>
    <row r="19" spans="1:37" x14ac:dyDescent="0.2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row>
    <row r="20" spans="1:37" x14ac:dyDescent="0.25">
      <c r="A20" s="77"/>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row>
    <row r="21" spans="1:37" x14ac:dyDescent="0.25">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row>
    <row r="22" spans="1:37" x14ac:dyDescent="0.25">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row>
    <row r="23" spans="1:37" x14ac:dyDescent="0.25">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row>
    <row r="24" spans="1:37" x14ac:dyDescent="0.25">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row>
    <row r="25" spans="1:37" x14ac:dyDescent="0.25">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row>
    <row r="26" spans="1:37" x14ac:dyDescent="0.25">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row>
    <row r="27" spans="1:37" x14ac:dyDescent="0.25">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row>
    <row r="28" spans="1:37" x14ac:dyDescent="0.25">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row>
    <row r="29" spans="1:37" x14ac:dyDescent="0.25">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row>
    <row r="30" spans="1:37" x14ac:dyDescent="0.25">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row>
    <row r="31" spans="1:37" x14ac:dyDescent="0.25">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row>
    <row r="32" spans="1:37" x14ac:dyDescent="0.25">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row>
    <row r="33" spans="1:31" x14ac:dyDescent="0.25">
      <c r="A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row>
    <row r="34" spans="1:31" x14ac:dyDescent="0.25">
      <c r="A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row>
    <row r="35" spans="1:31" x14ac:dyDescent="0.25">
      <c r="A35" s="77"/>
    </row>
    <row r="36" spans="1:31" x14ac:dyDescent="0.25">
      <c r="A36" s="77"/>
    </row>
    <row r="37" spans="1:31" x14ac:dyDescent="0.25">
      <c r="A37" s="77"/>
    </row>
    <row r="38" spans="1:31" x14ac:dyDescent="0.25">
      <c r="A38" s="77"/>
    </row>
    <row r="39" spans="1:31" x14ac:dyDescent="0.25">
      <c r="A39" s="77"/>
    </row>
    <row r="40" spans="1:31" x14ac:dyDescent="0.25">
      <c r="A40" s="77"/>
    </row>
    <row r="41" spans="1:31" x14ac:dyDescent="0.25">
      <c r="A41" s="77"/>
    </row>
    <row r="42" spans="1:31" x14ac:dyDescent="0.25">
      <c r="A42" s="77"/>
    </row>
    <row r="43" spans="1:31" x14ac:dyDescent="0.25">
      <c r="A43" s="77"/>
    </row>
    <row r="44" spans="1:31" x14ac:dyDescent="0.25">
      <c r="A44" s="77"/>
    </row>
    <row r="45" spans="1:31" x14ac:dyDescent="0.25">
      <c r="A45" s="77"/>
    </row>
    <row r="46" spans="1:31" x14ac:dyDescent="0.25">
      <c r="A46" s="77"/>
    </row>
    <row r="47" spans="1:31" x14ac:dyDescent="0.25">
      <c r="A47" s="77"/>
    </row>
    <row r="48" spans="1:31" x14ac:dyDescent="0.25">
      <c r="A48" s="77"/>
    </row>
    <row r="49" spans="1:1" x14ac:dyDescent="0.25">
      <c r="A49" s="77"/>
    </row>
    <row r="50" spans="1:1" x14ac:dyDescent="0.25">
      <c r="A50" s="77"/>
    </row>
    <row r="51" spans="1:1" x14ac:dyDescent="0.25">
      <c r="A51" s="77"/>
    </row>
    <row r="52" spans="1:1" x14ac:dyDescent="0.25">
      <c r="A52" s="77"/>
    </row>
    <row r="53" spans="1:1" x14ac:dyDescent="0.25">
      <c r="A53" s="77"/>
    </row>
    <row r="54" spans="1:1" x14ac:dyDescent="0.25">
      <c r="A54" s="77"/>
    </row>
    <row r="55" spans="1:1" x14ac:dyDescent="0.25">
      <c r="A55" s="77"/>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B1" zoomScale="60" zoomScaleNormal="60" workbookViewId="0">
      <selection activeCell="D12" sqref="D12"/>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7"/>
      <c r="B1" s="819" t="s">
        <v>560</v>
      </c>
      <c r="C1" s="819"/>
      <c r="D1" s="819"/>
      <c r="E1" s="77"/>
      <c r="F1" s="77"/>
      <c r="G1" s="77"/>
      <c r="H1" s="77"/>
      <c r="I1" s="77"/>
      <c r="J1" s="77"/>
      <c r="K1" s="77"/>
      <c r="L1" s="77"/>
      <c r="M1" s="77"/>
      <c r="N1" s="77"/>
      <c r="O1" s="77"/>
      <c r="P1" s="77"/>
      <c r="Q1" s="77"/>
      <c r="R1" s="77"/>
      <c r="S1" s="77"/>
      <c r="T1" s="77"/>
      <c r="U1" s="77"/>
    </row>
    <row r="2" spans="1:21" x14ac:dyDescent="0.25">
      <c r="A2" s="77"/>
      <c r="B2" s="77"/>
      <c r="C2" s="77"/>
      <c r="D2" s="77"/>
      <c r="E2" s="77"/>
      <c r="F2" s="77"/>
      <c r="G2" s="77"/>
      <c r="H2" s="77"/>
      <c r="I2" s="77"/>
      <c r="J2" s="77"/>
      <c r="K2" s="77"/>
      <c r="L2" s="77"/>
      <c r="M2" s="77"/>
      <c r="N2" s="77"/>
      <c r="O2" s="77"/>
      <c r="P2" s="77"/>
      <c r="Q2" s="77"/>
      <c r="R2" s="77"/>
      <c r="S2" s="77"/>
      <c r="T2" s="77"/>
      <c r="U2" s="77"/>
    </row>
    <row r="3" spans="1:21" ht="30" x14ac:dyDescent="0.25">
      <c r="A3" s="77"/>
      <c r="B3" s="98"/>
      <c r="C3" s="30" t="s">
        <v>561</v>
      </c>
      <c r="D3" s="30" t="s">
        <v>562</v>
      </c>
      <c r="E3" s="77"/>
      <c r="F3" s="77"/>
      <c r="G3" s="77"/>
      <c r="H3" s="77"/>
      <c r="I3" s="77"/>
      <c r="J3" s="77"/>
      <c r="K3" s="77"/>
      <c r="L3" s="77"/>
      <c r="M3" s="77"/>
      <c r="N3" s="77"/>
      <c r="O3" s="77"/>
      <c r="P3" s="77"/>
      <c r="Q3" s="77"/>
      <c r="R3" s="77"/>
      <c r="S3" s="77"/>
      <c r="T3" s="77"/>
      <c r="U3" s="77"/>
    </row>
    <row r="4" spans="1:21" ht="33.75" x14ac:dyDescent="0.25">
      <c r="A4" s="97" t="s">
        <v>563</v>
      </c>
      <c r="B4" s="33" t="s">
        <v>564</v>
      </c>
      <c r="C4" s="38" t="s">
        <v>565</v>
      </c>
      <c r="D4" s="31" t="s">
        <v>566</v>
      </c>
      <c r="E4" s="77"/>
      <c r="F4" s="77"/>
      <c r="G4" s="77"/>
      <c r="H4" s="77"/>
      <c r="I4" s="77"/>
      <c r="J4" s="77"/>
      <c r="K4" s="77"/>
      <c r="L4" s="77"/>
      <c r="M4" s="77"/>
      <c r="N4" s="77"/>
      <c r="O4" s="77"/>
      <c r="P4" s="77"/>
      <c r="Q4" s="77"/>
      <c r="R4" s="77"/>
      <c r="S4" s="77"/>
      <c r="T4" s="77"/>
      <c r="U4" s="77"/>
    </row>
    <row r="5" spans="1:21" ht="67.5" x14ac:dyDescent="0.25">
      <c r="A5" s="97" t="s">
        <v>567</v>
      </c>
      <c r="B5" s="34" t="s">
        <v>568</v>
      </c>
      <c r="C5" s="39" t="s">
        <v>569</v>
      </c>
      <c r="D5" s="32" t="s">
        <v>570</v>
      </c>
      <c r="E5" s="77"/>
      <c r="F5" s="77"/>
      <c r="G5" s="77"/>
      <c r="H5" s="77"/>
      <c r="I5" s="77"/>
      <c r="J5" s="77"/>
      <c r="K5" s="77"/>
      <c r="L5" s="77"/>
      <c r="M5" s="77"/>
      <c r="N5" s="77"/>
      <c r="O5" s="77"/>
      <c r="P5" s="77"/>
      <c r="Q5" s="77"/>
      <c r="R5" s="77"/>
      <c r="S5" s="77"/>
      <c r="T5" s="77"/>
      <c r="U5" s="77"/>
    </row>
    <row r="6" spans="1:21" ht="67.5" x14ac:dyDescent="0.25">
      <c r="A6" s="97" t="s">
        <v>486</v>
      </c>
      <c r="B6" s="35" t="s">
        <v>571</v>
      </c>
      <c r="C6" s="39" t="s">
        <v>572</v>
      </c>
      <c r="D6" s="32" t="s">
        <v>573</v>
      </c>
      <c r="E6" s="77"/>
      <c r="F6" s="77"/>
      <c r="G6" s="77"/>
      <c r="H6" s="77"/>
      <c r="I6" s="77"/>
      <c r="J6" s="77"/>
      <c r="K6" s="77"/>
      <c r="L6" s="77"/>
      <c r="M6" s="77"/>
      <c r="N6" s="77"/>
      <c r="O6" s="77"/>
      <c r="P6" s="77"/>
      <c r="Q6" s="77"/>
      <c r="R6" s="77"/>
      <c r="S6" s="77"/>
      <c r="T6" s="77"/>
      <c r="U6" s="77"/>
    </row>
    <row r="7" spans="1:21" ht="101.25" x14ac:dyDescent="0.25">
      <c r="A7" s="97" t="s">
        <v>481</v>
      </c>
      <c r="B7" s="36" t="s">
        <v>574</v>
      </c>
      <c r="C7" s="39" t="s">
        <v>575</v>
      </c>
      <c r="D7" s="32" t="s">
        <v>576</v>
      </c>
      <c r="E7" s="77"/>
      <c r="F7" s="77"/>
      <c r="G7" s="77"/>
      <c r="H7" s="77"/>
      <c r="I7" s="77"/>
      <c r="J7" s="77"/>
      <c r="K7" s="77"/>
      <c r="L7" s="77"/>
      <c r="M7" s="77"/>
      <c r="N7" s="77"/>
      <c r="O7" s="77"/>
      <c r="P7" s="77"/>
      <c r="Q7" s="77"/>
      <c r="R7" s="77"/>
      <c r="S7" s="77"/>
      <c r="T7" s="77"/>
      <c r="U7" s="77"/>
    </row>
    <row r="8" spans="1:21" ht="67.5" x14ac:dyDescent="0.25">
      <c r="A8" s="97" t="s">
        <v>474</v>
      </c>
      <c r="B8" s="37" t="s">
        <v>577</v>
      </c>
      <c r="C8" s="39" t="s">
        <v>578</v>
      </c>
      <c r="D8" s="32" t="s">
        <v>579</v>
      </c>
      <c r="E8" s="77"/>
      <c r="F8" s="77"/>
      <c r="G8" s="77"/>
      <c r="H8" s="77"/>
      <c r="I8" s="77"/>
      <c r="J8" s="77"/>
      <c r="K8" s="77"/>
      <c r="L8" s="77"/>
      <c r="M8" s="77"/>
      <c r="N8" s="77"/>
      <c r="O8" s="77"/>
      <c r="P8" s="77"/>
      <c r="Q8" s="77"/>
      <c r="R8" s="77"/>
      <c r="S8" s="77"/>
      <c r="T8" s="77"/>
      <c r="U8" s="77"/>
    </row>
    <row r="9" spans="1:21" ht="20.25" x14ac:dyDescent="0.25">
      <c r="A9" s="97"/>
      <c r="B9" s="97"/>
      <c r="C9" s="99"/>
      <c r="D9" s="99"/>
      <c r="E9" s="77"/>
      <c r="F9" s="77"/>
      <c r="G9" s="77"/>
      <c r="H9" s="77"/>
      <c r="I9" s="77"/>
      <c r="J9" s="77"/>
      <c r="K9" s="77"/>
      <c r="L9" s="77"/>
      <c r="M9" s="77"/>
      <c r="N9" s="77"/>
      <c r="O9" s="77"/>
      <c r="P9" s="77"/>
      <c r="Q9" s="77"/>
      <c r="R9" s="77"/>
      <c r="S9" s="77"/>
      <c r="T9" s="77"/>
      <c r="U9" s="77"/>
    </row>
    <row r="10" spans="1:21" ht="16.5" x14ac:dyDescent="0.25">
      <c r="A10" s="97"/>
      <c r="B10" s="100"/>
      <c r="C10" s="100"/>
      <c r="D10" s="100"/>
      <c r="E10" s="77"/>
      <c r="F10" s="77"/>
      <c r="G10" s="77"/>
      <c r="H10" s="77"/>
      <c r="I10" s="77"/>
      <c r="J10" s="77"/>
      <c r="K10" s="77"/>
      <c r="L10" s="77"/>
      <c r="M10" s="77"/>
      <c r="N10" s="77"/>
      <c r="O10" s="77"/>
      <c r="P10" s="77"/>
      <c r="Q10" s="77"/>
      <c r="R10" s="77"/>
      <c r="S10" s="77"/>
      <c r="T10" s="77"/>
      <c r="U10" s="77"/>
    </row>
    <row r="11" spans="1:21" x14ac:dyDescent="0.25">
      <c r="A11" s="97"/>
      <c r="B11" s="97" t="s">
        <v>580</v>
      </c>
      <c r="C11" s="97" t="s">
        <v>581</v>
      </c>
      <c r="D11" s="97" t="s">
        <v>355</v>
      </c>
      <c r="E11" s="77"/>
      <c r="F11" s="77"/>
      <c r="G11" s="77"/>
      <c r="H11" s="77"/>
      <c r="I11" s="77"/>
      <c r="J11" s="77"/>
      <c r="K11" s="77"/>
      <c r="L11" s="77"/>
      <c r="M11" s="77"/>
      <c r="N11" s="77"/>
      <c r="O11" s="77"/>
      <c r="P11" s="77"/>
      <c r="Q11" s="77"/>
      <c r="R11" s="77"/>
      <c r="S11" s="77"/>
      <c r="T11" s="77"/>
      <c r="U11" s="77"/>
    </row>
    <row r="12" spans="1:21" x14ac:dyDescent="0.25">
      <c r="A12" s="97"/>
      <c r="B12" s="97" t="s">
        <v>582</v>
      </c>
      <c r="C12" s="97" t="s">
        <v>583</v>
      </c>
      <c r="D12" s="97" t="s">
        <v>584</v>
      </c>
      <c r="E12" s="77"/>
      <c r="F12" s="77"/>
      <c r="G12" s="77"/>
      <c r="H12" s="77"/>
      <c r="I12" s="77"/>
      <c r="J12" s="77"/>
      <c r="K12" s="77"/>
      <c r="L12" s="77"/>
      <c r="M12" s="77"/>
      <c r="N12" s="77"/>
      <c r="O12" s="77"/>
      <c r="P12" s="77"/>
      <c r="Q12" s="77"/>
      <c r="R12" s="77"/>
      <c r="S12" s="77"/>
      <c r="T12" s="77"/>
      <c r="U12" s="77"/>
    </row>
    <row r="13" spans="1:21" x14ac:dyDescent="0.25">
      <c r="A13" s="97"/>
      <c r="B13" s="97"/>
      <c r="C13" s="97" t="s">
        <v>585</v>
      </c>
      <c r="D13" s="97" t="s">
        <v>388</v>
      </c>
      <c r="E13" s="77"/>
      <c r="F13" s="77"/>
      <c r="G13" s="77"/>
      <c r="H13" s="77"/>
      <c r="I13" s="77"/>
      <c r="J13" s="77"/>
      <c r="K13" s="77"/>
      <c r="L13" s="77"/>
      <c r="M13" s="77"/>
      <c r="N13" s="77"/>
      <c r="O13" s="77"/>
      <c r="P13" s="77"/>
      <c r="Q13" s="77"/>
      <c r="R13" s="77"/>
      <c r="S13" s="77"/>
      <c r="T13" s="77"/>
      <c r="U13" s="77"/>
    </row>
    <row r="14" spans="1:21" x14ac:dyDescent="0.25">
      <c r="A14" s="97"/>
      <c r="B14" s="97"/>
      <c r="C14" s="97" t="s">
        <v>586</v>
      </c>
      <c r="D14" s="97" t="s">
        <v>490</v>
      </c>
      <c r="E14" s="77"/>
      <c r="F14" s="77"/>
      <c r="G14" s="77"/>
      <c r="H14" s="77"/>
      <c r="I14" s="77"/>
      <c r="J14" s="77"/>
      <c r="K14" s="77"/>
      <c r="L14" s="77"/>
      <c r="M14" s="77"/>
      <c r="N14" s="77"/>
      <c r="O14" s="77"/>
      <c r="P14" s="77"/>
      <c r="Q14" s="77"/>
      <c r="R14" s="77"/>
      <c r="S14" s="77"/>
      <c r="T14" s="77"/>
      <c r="U14" s="77"/>
    </row>
    <row r="15" spans="1:21" x14ac:dyDescent="0.25">
      <c r="A15" s="97"/>
      <c r="B15" s="97"/>
      <c r="C15" s="97" t="s">
        <v>587</v>
      </c>
      <c r="D15" s="97" t="s">
        <v>380</v>
      </c>
      <c r="E15" s="77"/>
      <c r="F15" s="77"/>
      <c r="G15" s="77"/>
      <c r="H15" s="77"/>
      <c r="I15" s="77"/>
      <c r="J15" s="77"/>
      <c r="K15" s="77"/>
      <c r="L15" s="77"/>
      <c r="M15" s="77"/>
      <c r="N15" s="77"/>
      <c r="O15" s="77"/>
      <c r="P15" s="77"/>
      <c r="Q15" s="77"/>
      <c r="R15" s="77"/>
      <c r="S15" s="77"/>
      <c r="T15" s="77"/>
      <c r="U15" s="77"/>
    </row>
    <row r="16" spans="1:21" x14ac:dyDescent="0.25">
      <c r="A16" s="97"/>
      <c r="B16" s="97"/>
      <c r="C16" s="97"/>
      <c r="D16" s="97"/>
      <c r="E16" s="77"/>
      <c r="F16" s="77"/>
      <c r="G16" s="77"/>
      <c r="H16" s="77"/>
      <c r="I16" s="77"/>
      <c r="J16" s="77"/>
      <c r="K16" s="77"/>
      <c r="L16" s="77"/>
      <c r="M16" s="77"/>
      <c r="N16" s="77"/>
      <c r="O16" s="77"/>
    </row>
    <row r="17" spans="1:15" x14ac:dyDescent="0.25">
      <c r="A17" s="97"/>
      <c r="B17" s="97"/>
      <c r="C17" s="97"/>
      <c r="D17" s="97"/>
      <c r="E17" s="77"/>
      <c r="F17" s="77"/>
      <c r="G17" s="77"/>
      <c r="H17" s="77"/>
      <c r="I17" s="77"/>
      <c r="J17" s="77"/>
      <c r="K17" s="77"/>
      <c r="L17" s="77"/>
      <c r="M17" s="77"/>
      <c r="N17" s="77"/>
      <c r="O17" s="77"/>
    </row>
    <row r="18" spans="1:15" x14ac:dyDescent="0.25">
      <c r="A18" s="97"/>
      <c r="B18" s="101"/>
      <c r="C18" s="101"/>
      <c r="D18" s="101"/>
      <c r="E18" s="77"/>
      <c r="F18" s="77"/>
      <c r="G18" s="77"/>
      <c r="H18" s="77"/>
      <c r="I18" s="77"/>
      <c r="J18" s="77"/>
      <c r="K18" s="77"/>
      <c r="L18" s="77"/>
      <c r="M18" s="77"/>
      <c r="N18" s="77"/>
      <c r="O18" s="77"/>
    </row>
    <row r="19" spans="1:15" x14ac:dyDescent="0.25">
      <c r="A19" s="97"/>
      <c r="B19" s="101"/>
      <c r="C19" s="101"/>
      <c r="D19" s="101"/>
      <c r="E19" s="77"/>
      <c r="F19" s="77"/>
      <c r="G19" s="77"/>
      <c r="H19" s="77"/>
      <c r="I19" s="77"/>
      <c r="J19" s="77"/>
      <c r="K19" s="77"/>
      <c r="L19" s="77"/>
      <c r="M19" s="77"/>
      <c r="N19" s="77"/>
      <c r="O19" s="77"/>
    </row>
    <row r="20" spans="1:15" x14ac:dyDescent="0.25">
      <c r="A20" s="97"/>
      <c r="B20" s="101"/>
      <c r="C20" s="101"/>
      <c r="D20" s="101"/>
      <c r="E20" s="77"/>
      <c r="F20" s="77"/>
      <c r="G20" s="77"/>
      <c r="H20" s="77"/>
      <c r="I20" s="77"/>
      <c r="J20" s="77"/>
      <c r="K20" s="77"/>
      <c r="L20" s="77"/>
      <c r="M20" s="77"/>
      <c r="N20" s="77"/>
      <c r="O20" s="77"/>
    </row>
    <row r="21" spans="1:15" x14ac:dyDescent="0.25">
      <c r="A21" s="97"/>
      <c r="B21" s="101"/>
      <c r="C21" s="101"/>
      <c r="D21" s="101"/>
      <c r="E21" s="77"/>
      <c r="F21" s="77"/>
      <c r="G21" s="77"/>
      <c r="H21" s="77"/>
      <c r="I21" s="77"/>
      <c r="J21" s="77"/>
      <c r="K21" s="77"/>
      <c r="L21" s="77"/>
      <c r="M21" s="77"/>
      <c r="N21" s="77"/>
      <c r="O21" s="77"/>
    </row>
    <row r="22" spans="1:15" ht="20.25" x14ac:dyDescent="0.25">
      <c r="A22" s="97"/>
      <c r="B22" s="97"/>
      <c r="C22" s="99"/>
      <c r="D22" s="99"/>
      <c r="E22" s="77"/>
      <c r="F22" s="77"/>
      <c r="G22" s="77"/>
      <c r="H22" s="77"/>
      <c r="I22" s="77"/>
      <c r="J22" s="77"/>
      <c r="K22" s="77"/>
      <c r="L22" s="77"/>
      <c r="M22" s="77"/>
      <c r="N22" s="77"/>
      <c r="O22" s="77"/>
    </row>
    <row r="23" spans="1:15" ht="20.25" x14ac:dyDescent="0.25">
      <c r="A23" s="97"/>
      <c r="B23" s="97"/>
      <c r="C23" s="99"/>
      <c r="D23" s="99"/>
      <c r="E23" s="77"/>
      <c r="F23" s="77"/>
      <c r="G23" s="77"/>
      <c r="H23" s="77"/>
      <c r="I23" s="77"/>
      <c r="J23" s="77"/>
      <c r="K23" s="77"/>
      <c r="L23" s="77"/>
      <c r="M23" s="77"/>
      <c r="N23" s="77"/>
      <c r="O23" s="77"/>
    </row>
    <row r="24" spans="1:15" ht="20.25" x14ac:dyDescent="0.25">
      <c r="A24" s="97"/>
      <c r="B24" s="97"/>
      <c r="C24" s="99"/>
      <c r="D24" s="99"/>
      <c r="E24" s="77"/>
      <c r="F24" s="77"/>
      <c r="G24" s="77"/>
      <c r="H24" s="77"/>
      <c r="I24" s="77"/>
      <c r="J24" s="77"/>
      <c r="K24" s="77"/>
      <c r="L24" s="77"/>
      <c r="M24" s="77"/>
      <c r="N24" s="77"/>
      <c r="O24" s="77"/>
    </row>
    <row r="25" spans="1:15" ht="20.25" x14ac:dyDescent="0.25">
      <c r="A25" s="97"/>
      <c r="B25" s="97"/>
      <c r="C25" s="99"/>
      <c r="D25" s="99"/>
      <c r="E25" s="77"/>
      <c r="F25" s="77"/>
      <c r="G25" s="77"/>
      <c r="H25" s="77"/>
      <c r="I25" s="77"/>
      <c r="J25" s="77"/>
      <c r="K25" s="77"/>
      <c r="L25" s="77"/>
      <c r="M25" s="77"/>
      <c r="N25" s="77"/>
      <c r="O25" s="77"/>
    </row>
    <row r="26" spans="1:15" ht="20.25" x14ac:dyDescent="0.25">
      <c r="A26" s="97"/>
      <c r="B26" s="97"/>
      <c r="C26" s="99"/>
      <c r="D26" s="99"/>
      <c r="E26" s="77"/>
      <c r="F26" s="77"/>
      <c r="G26" s="77"/>
      <c r="H26" s="77"/>
      <c r="I26" s="77"/>
      <c r="J26" s="77"/>
      <c r="K26" s="77"/>
      <c r="L26" s="77"/>
      <c r="M26" s="77"/>
      <c r="N26" s="77"/>
      <c r="O26" s="77"/>
    </row>
    <row r="27" spans="1:15" ht="20.25" x14ac:dyDescent="0.25">
      <c r="A27" s="97"/>
      <c r="B27" s="97"/>
      <c r="C27" s="99"/>
      <c r="D27" s="99"/>
      <c r="E27" s="77"/>
      <c r="F27" s="77"/>
      <c r="G27" s="77"/>
      <c r="H27" s="77"/>
      <c r="I27" s="77"/>
      <c r="J27" s="77"/>
      <c r="K27" s="77"/>
      <c r="L27" s="77"/>
      <c r="M27" s="77"/>
      <c r="N27" s="77"/>
      <c r="O27" s="77"/>
    </row>
    <row r="28" spans="1:15" ht="20.25" x14ac:dyDescent="0.25">
      <c r="A28" s="97"/>
      <c r="B28" s="97"/>
      <c r="C28" s="99"/>
      <c r="D28" s="99"/>
      <c r="E28" s="77"/>
      <c r="F28" s="77"/>
      <c r="G28" s="77"/>
      <c r="H28" s="77"/>
      <c r="I28" s="77"/>
      <c r="J28" s="77"/>
      <c r="K28" s="77"/>
      <c r="L28" s="77"/>
      <c r="M28" s="77"/>
      <c r="N28" s="77"/>
      <c r="O28" s="77"/>
    </row>
    <row r="29" spans="1:15" ht="20.25" x14ac:dyDescent="0.25">
      <c r="A29" s="97"/>
      <c r="B29" s="97"/>
      <c r="C29" s="99"/>
      <c r="D29" s="99"/>
      <c r="E29" s="77"/>
      <c r="F29" s="77"/>
      <c r="G29" s="77"/>
      <c r="H29" s="77"/>
      <c r="I29" s="77"/>
      <c r="J29" s="77"/>
      <c r="K29" s="77"/>
      <c r="L29" s="77"/>
      <c r="M29" s="77"/>
      <c r="N29" s="77"/>
      <c r="O29" s="77"/>
    </row>
    <row r="30" spans="1:15" ht="20.25" x14ac:dyDescent="0.25">
      <c r="A30" s="97"/>
      <c r="B30" s="97"/>
      <c r="C30" s="99"/>
      <c r="D30" s="99"/>
      <c r="E30" s="77"/>
      <c r="F30" s="77"/>
      <c r="G30" s="77"/>
      <c r="H30" s="77"/>
      <c r="I30" s="77"/>
      <c r="J30" s="77"/>
      <c r="K30" s="77"/>
      <c r="L30" s="77"/>
      <c r="M30" s="77"/>
      <c r="N30" s="77"/>
      <c r="O30" s="77"/>
    </row>
    <row r="31" spans="1:15" ht="20.25" x14ac:dyDescent="0.25">
      <c r="A31" s="97"/>
      <c r="B31" s="97"/>
      <c r="C31" s="99"/>
      <c r="D31" s="99"/>
      <c r="E31" s="77"/>
      <c r="F31" s="77"/>
      <c r="G31" s="77"/>
      <c r="H31" s="77"/>
      <c r="I31" s="77"/>
      <c r="J31" s="77"/>
      <c r="K31" s="77"/>
      <c r="L31" s="77"/>
      <c r="M31" s="77"/>
      <c r="N31" s="77"/>
      <c r="O31" s="77"/>
    </row>
    <row r="32" spans="1:15" ht="20.25" x14ac:dyDescent="0.25">
      <c r="A32" s="97"/>
      <c r="B32" s="97"/>
      <c r="C32" s="99"/>
      <c r="D32" s="99"/>
      <c r="E32" s="77"/>
      <c r="F32" s="77"/>
      <c r="G32" s="77"/>
      <c r="H32" s="77"/>
      <c r="I32" s="77"/>
      <c r="J32" s="77"/>
      <c r="K32" s="77"/>
      <c r="L32" s="77"/>
      <c r="M32" s="77"/>
      <c r="N32" s="77"/>
      <c r="O32" s="77"/>
    </row>
    <row r="33" spans="1:15" ht="20.25" x14ac:dyDescent="0.25">
      <c r="A33" s="97"/>
      <c r="B33" s="97"/>
      <c r="C33" s="99"/>
      <c r="D33" s="99"/>
      <c r="E33" s="77"/>
      <c r="F33" s="77"/>
      <c r="G33" s="77"/>
      <c r="H33" s="77"/>
      <c r="I33" s="77"/>
      <c r="J33" s="77"/>
      <c r="K33" s="77"/>
      <c r="L33" s="77"/>
      <c r="M33" s="77"/>
      <c r="N33" s="77"/>
      <c r="O33" s="77"/>
    </row>
    <row r="34" spans="1:15" ht="20.25" x14ac:dyDescent="0.25">
      <c r="A34" s="97"/>
      <c r="B34" s="97"/>
      <c r="C34" s="99"/>
      <c r="D34" s="99"/>
      <c r="E34" s="77"/>
      <c r="F34" s="77"/>
      <c r="G34" s="77"/>
      <c r="H34" s="77"/>
      <c r="I34" s="77"/>
      <c r="J34" s="77"/>
      <c r="K34" s="77"/>
      <c r="L34" s="77"/>
      <c r="M34" s="77"/>
      <c r="N34" s="77"/>
      <c r="O34" s="77"/>
    </row>
    <row r="35" spans="1:15" ht="20.25" x14ac:dyDescent="0.25">
      <c r="A35" s="97"/>
      <c r="B35" s="97"/>
      <c r="C35" s="99"/>
      <c r="D35" s="99"/>
      <c r="E35" s="77"/>
      <c r="F35" s="77"/>
      <c r="G35" s="77"/>
      <c r="H35" s="77"/>
      <c r="I35" s="77"/>
      <c r="J35" s="77"/>
      <c r="K35" s="77"/>
      <c r="L35" s="77"/>
      <c r="M35" s="77"/>
      <c r="N35" s="77"/>
      <c r="O35" s="77"/>
    </row>
    <row r="36" spans="1:15" ht="20.25" x14ac:dyDescent="0.25">
      <c r="A36" s="97"/>
      <c r="B36" s="97"/>
      <c r="C36" s="99"/>
      <c r="D36" s="99"/>
      <c r="E36" s="77"/>
      <c r="F36" s="77"/>
      <c r="G36" s="77"/>
      <c r="H36" s="77"/>
      <c r="I36" s="77"/>
      <c r="J36" s="77"/>
      <c r="K36" s="77"/>
      <c r="L36" s="77"/>
      <c r="M36" s="77"/>
      <c r="N36" s="77"/>
      <c r="O36" s="77"/>
    </row>
    <row r="37" spans="1:15" ht="20.25" x14ac:dyDescent="0.25">
      <c r="A37" s="97"/>
      <c r="B37" s="97"/>
      <c r="C37" s="99"/>
      <c r="D37" s="99"/>
      <c r="E37" s="77"/>
      <c r="F37" s="77"/>
      <c r="G37" s="77"/>
      <c r="H37" s="77"/>
      <c r="I37" s="77"/>
      <c r="J37" s="77"/>
      <c r="K37" s="77"/>
      <c r="L37" s="77"/>
      <c r="M37" s="77"/>
      <c r="N37" s="77"/>
      <c r="O37" s="77"/>
    </row>
    <row r="38" spans="1:15" ht="20.25" x14ac:dyDescent="0.25">
      <c r="A38" s="97"/>
      <c r="B38" s="97"/>
      <c r="C38" s="99"/>
      <c r="D38" s="99"/>
      <c r="E38" s="77"/>
      <c r="F38" s="77"/>
      <c r="G38" s="77"/>
      <c r="H38" s="77"/>
      <c r="I38" s="77"/>
      <c r="J38" s="77"/>
      <c r="K38" s="77"/>
      <c r="L38" s="77"/>
      <c r="M38" s="77"/>
      <c r="N38" s="77"/>
      <c r="O38" s="77"/>
    </row>
    <row r="39" spans="1:15" ht="20.25" x14ac:dyDescent="0.25">
      <c r="A39" s="97"/>
      <c r="B39" s="97"/>
      <c r="C39" s="99"/>
      <c r="D39" s="99"/>
      <c r="E39" s="77"/>
      <c r="F39" s="77"/>
      <c r="G39" s="77"/>
      <c r="H39" s="77"/>
      <c r="I39" s="77"/>
      <c r="J39" s="77"/>
      <c r="K39" s="77"/>
      <c r="L39" s="77"/>
      <c r="M39" s="77"/>
      <c r="N39" s="77"/>
      <c r="O39" s="77"/>
    </row>
    <row r="40" spans="1:15" ht="20.25" x14ac:dyDescent="0.25">
      <c r="A40" s="97"/>
      <c r="B40" s="97"/>
      <c r="C40" s="99"/>
      <c r="D40" s="99"/>
      <c r="E40" s="77"/>
      <c r="F40" s="77"/>
      <c r="G40" s="77"/>
      <c r="H40" s="77"/>
      <c r="I40" s="77"/>
      <c r="J40" s="77"/>
      <c r="K40" s="77"/>
      <c r="L40" s="77"/>
      <c r="M40" s="77"/>
      <c r="N40" s="77"/>
      <c r="O40" s="77"/>
    </row>
    <row r="41" spans="1:15" ht="20.25" x14ac:dyDescent="0.25">
      <c r="A41" s="97"/>
      <c r="B41" s="97"/>
      <c r="C41" s="99"/>
      <c r="D41" s="99"/>
      <c r="E41" s="77"/>
      <c r="F41" s="77"/>
      <c r="G41" s="77"/>
      <c r="H41" s="77"/>
      <c r="I41" s="77"/>
      <c r="J41" s="77"/>
      <c r="K41" s="77"/>
      <c r="L41" s="77"/>
      <c r="M41" s="77"/>
      <c r="N41" s="77"/>
      <c r="O41" s="77"/>
    </row>
    <row r="42" spans="1:15" ht="20.25" x14ac:dyDescent="0.25">
      <c r="A42" s="97"/>
      <c r="B42" s="97"/>
      <c r="C42" s="99"/>
      <c r="D42" s="99"/>
      <c r="E42" s="77"/>
      <c r="F42" s="77"/>
      <c r="G42" s="77"/>
      <c r="H42" s="77"/>
      <c r="I42" s="77"/>
      <c r="J42" s="77"/>
      <c r="K42" s="77"/>
      <c r="L42" s="77"/>
      <c r="M42" s="77"/>
      <c r="N42" s="77"/>
      <c r="O42" s="77"/>
    </row>
    <row r="43" spans="1:15" ht="20.25" x14ac:dyDescent="0.25">
      <c r="A43" s="97"/>
      <c r="B43" s="97"/>
      <c r="C43" s="99"/>
      <c r="D43" s="99"/>
      <c r="E43" s="77"/>
      <c r="F43" s="77"/>
      <c r="G43" s="77"/>
      <c r="H43" s="77"/>
      <c r="I43" s="77"/>
      <c r="J43" s="77"/>
      <c r="K43" s="77"/>
      <c r="L43" s="77"/>
      <c r="M43" s="77"/>
      <c r="N43" s="77"/>
      <c r="O43" s="77"/>
    </row>
    <row r="44" spans="1:15" ht="20.25" x14ac:dyDescent="0.25">
      <c r="A44" s="97"/>
      <c r="B44" s="97"/>
      <c r="C44" s="99"/>
      <c r="D44" s="99"/>
      <c r="E44" s="77"/>
      <c r="F44" s="77"/>
      <c r="G44" s="77"/>
      <c r="H44" s="77"/>
      <c r="I44" s="77"/>
      <c r="J44" s="77"/>
      <c r="K44" s="77"/>
      <c r="L44" s="77"/>
      <c r="M44" s="77"/>
      <c r="N44" s="77"/>
      <c r="O44" s="77"/>
    </row>
    <row r="45" spans="1:15" ht="20.25" x14ac:dyDescent="0.25">
      <c r="A45" s="97"/>
      <c r="B45" s="97"/>
      <c r="C45" s="99"/>
      <c r="D45" s="99"/>
      <c r="E45" s="77"/>
      <c r="F45" s="77"/>
      <c r="G45" s="77"/>
      <c r="H45" s="77"/>
      <c r="I45" s="77"/>
      <c r="J45" s="77"/>
      <c r="K45" s="77"/>
      <c r="L45" s="77"/>
      <c r="M45" s="77"/>
      <c r="N45" s="77"/>
      <c r="O45" s="77"/>
    </row>
    <row r="46" spans="1:15" ht="20.25" x14ac:dyDescent="0.25">
      <c r="A46" s="97"/>
      <c r="B46" s="97"/>
      <c r="C46" s="99"/>
      <c r="D46" s="99"/>
      <c r="E46" s="77"/>
      <c r="F46" s="77"/>
      <c r="G46" s="77"/>
      <c r="H46" s="77"/>
      <c r="I46" s="77"/>
      <c r="J46" s="77"/>
      <c r="K46" s="77"/>
      <c r="L46" s="77"/>
      <c r="M46" s="77"/>
      <c r="N46" s="77"/>
      <c r="O46" s="77"/>
    </row>
    <row r="47" spans="1:15" ht="20.25" x14ac:dyDescent="0.25">
      <c r="A47" s="97"/>
      <c r="B47" s="97"/>
      <c r="C47" s="99"/>
      <c r="D47" s="99"/>
      <c r="E47" s="77"/>
      <c r="F47" s="77"/>
      <c r="G47" s="77"/>
      <c r="H47" s="77"/>
      <c r="I47" s="77"/>
      <c r="J47" s="77"/>
      <c r="K47" s="77"/>
      <c r="L47" s="77"/>
      <c r="M47" s="77"/>
      <c r="N47" s="77"/>
      <c r="O47" s="77"/>
    </row>
    <row r="48" spans="1:15" ht="20.25" x14ac:dyDescent="0.25">
      <c r="A48" s="97"/>
      <c r="B48" s="97"/>
      <c r="C48" s="99"/>
      <c r="D48" s="99"/>
      <c r="E48" s="77"/>
      <c r="F48" s="77"/>
      <c r="G48" s="77"/>
      <c r="H48" s="77"/>
      <c r="I48" s="77"/>
      <c r="J48" s="77"/>
      <c r="K48" s="77"/>
      <c r="L48" s="77"/>
      <c r="M48" s="77"/>
      <c r="N48" s="77"/>
      <c r="O48" s="77"/>
    </row>
    <row r="49" spans="1:15" ht="20.25" x14ac:dyDescent="0.25">
      <c r="A49" s="97"/>
      <c r="B49" s="97"/>
      <c r="C49" s="99"/>
      <c r="D49" s="99"/>
      <c r="E49" s="77"/>
      <c r="F49" s="77"/>
      <c r="G49" s="77"/>
      <c r="H49" s="77"/>
      <c r="I49" s="77"/>
      <c r="J49" s="77"/>
      <c r="K49" s="77"/>
      <c r="L49" s="77"/>
      <c r="M49" s="77"/>
      <c r="N49" s="77"/>
      <c r="O49" s="77"/>
    </row>
    <row r="50" spans="1:15" ht="20.25" x14ac:dyDescent="0.25">
      <c r="A50" s="97"/>
      <c r="B50" s="97"/>
      <c r="C50" s="99"/>
      <c r="D50" s="99"/>
      <c r="E50" s="77"/>
      <c r="F50" s="77"/>
      <c r="G50" s="77"/>
      <c r="H50" s="77"/>
      <c r="I50" s="77"/>
      <c r="J50" s="77"/>
      <c r="K50" s="77"/>
      <c r="L50" s="77"/>
      <c r="M50" s="77"/>
      <c r="N50" s="77"/>
      <c r="O50" s="77"/>
    </row>
    <row r="51" spans="1:15" ht="20.25" x14ac:dyDescent="0.25">
      <c r="A51" s="97"/>
      <c r="B51" s="97"/>
      <c r="C51" s="99"/>
      <c r="D51" s="99"/>
      <c r="E51" s="77"/>
      <c r="F51" s="77"/>
      <c r="G51" s="77"/>
      <c r="H51" s="77"/>
      <c r="I51" s="77"/>
      <c r="J51" s="77"/>
      <c r="K51" s="77"/>
      <c r="L51" s="77"/>
      <c r="M51" s="77"/>
      <c r="N51" s="77"/>
      <c r="O51" s="77"/>
    </row>
    <row r="52" spans="1:15" ht="20.25" x14ac:dyDescent="0.25">
      <c r="A52" s="97"/>
      <c r="B52" s="20"/>
      <c r="C52" s="28"/>
      <c r="D52" s="28"/>
    </row>
    <row r="53" spans="1:15" ht="20.25" x14ac:dyDescent="0.25">
      <c r="A53" s="97"/>
      <c r="B53" s="20"/>
      <c r="C53" s="28"/>
      <c r="D53" s="28"/>
    </row>
    <row r="54" spans="1:15" ht="20.25" x14ac:dyDescent="0.25">
      <c r="A54" s="97"/>
      <c r="B54" s="20"/>
      <c r="C54" s="28"/>
      <c r="D54" s="28"/>
    </row>
    <row r="55" spans="1:15" ht="20.25" x14ac:dyDescent="0.25">
      <c r="A55" s="97"/>
      <c r="B55" s="20"/>
      <c r="C55" s="28"/>
      <c r="D55" s="28"/>
    </row>
    <row r="56" spans="1:15" ht="20.25" x14ac:dyDescent="0.25">
      <c r="A56" s="97"/>
      <c r="B56" s="20"/>
      <c r="C56" s="28"/>
      <c r="D56" s="28"/>
    </row>
    <row r="57" spans="1:15" ht="20.25" x14ac:dyDescent="0.25">
      <c r="A57" s="97"/>
      <c r="B57" s="20"/>
      <c r="C57" s="28"/>
      <c r="D57" s="28"/>
    </row>
    <row r="58" spans="1:15" ht="20.25" x14ac:dyDescent="0.25">
      <c r="A58" s="97"/>
      <c r="B58" s="20"/>
      <c r="C58" s="28"/>
      <c r="D58" s="28"/>
    </row>
    <row r="59" spans="1:15" ht="20.25" x14ac:dyDescent="0.25">
      <c r="A59" s="97"/>
      <c r="B59" s="20"/>
      <c r="C59" s="28"/>
      <c r="D59" s="28"/>
    </row>
    <row r="60" spans="1:15" ht="20.25" x14ac:dyDescent="0.25">
      <c r="A60" s="97"/>
      <c r="B60" s="20"/>
      <c r="C60" s="28"/>
      <c r="D60" s="28"/>
    </row>
    <row r="61" spans="1:15" ht="20.25" x14ac:dyDescent="0.25">
      <c r="A61" s="97"/>
      <c r="B61" s="20"/>
      <c r="C61" s="28"/>
      <c r="D61" s="28"/>
    </row>
    <row r="62" spans="1:15" ht="20.25" x14ac:dyDescent="0.25">
      <c r="A62" s="97"/>
      <c r="B62" s="20"/>
      <c r="C62" s="28"/>
      <c r="D62" s="28"/>
    </row>
    <row r="63" spans="1:15" ht="20.25" x14ac:dyDescent="0.25">
      <c r="A63" s="97"/>
      <c r="B63" s="20"/>
      <c r="C63" s="28"/>
      <c r="D63" s="28"/>
    </row>
    <row r="64" spans="1:15" ht="20.25" x14ac:dyDescent="0.25">
      <c r="A64" s="97"/>
      <c r="B64" s="20"/>
      <c r="C64" s="28"/>
      <c r="D64" s="28"/>
    </row>
    <row r="65" spans="1:4" ht="20.25" x14ac:dyDescent="0.25">
      <c r="A65" s="97"/>
      <c r="B65" s="20"/>
      <c r="C65" s="28"/>
      <c r="D65" s="28"/>
    </row>
    <row r="66" spans="1:4" ht="20.25" x14ac:dyDescent="0.25">
      <c r="A66" s="97"/>
      <c r="B66" s="20"/>
      <c r="C66" s="28"/>
      <c r="D66" s="28"/>
    </row>
    <row r="67" spans="1:4" ht="20.25" x14ac:dyDescent="0.25">
      <c r="A67" s="97"/>
      <c r="B67" s="20"/>
      <c r="C67" s="28"/>
      <c r="D67" s="28"/>
    </row>
    <row r="68" spans="1:4" ht="20.25" x14ac:dyDescent="0.25">
      <c r="A68" s="97"/>
      <c r="B68" s="20"/>
      <c r="C68" s="28"/>
      <c r="D68" s="28"/>
    </row>
    <row r="69" spans="1:4" ht="20.25" x14ac:dyDescent="0.25">
      <c r="A69" s="97"/>
      <c r="B69" s="20"/>
      <c r="C69" s="28"/>
      <c r="D69" s="28"/>
    </row>
    <row r="70" spans="1:4" ht="20.25" x14ac:dyDescent="0.25">
      <c r="A70" s="97"/>
      <c r="B70" s="20"/>
      <c r="C70" s="28"/>
      <c r="D70" s="28"/>
    </row>
    <row r="71" spans="1:4" ht="20.25" x14ac:dyDescent="0.25">
      <c r="A71" s="97"/>
      <c r="B71" s="20"/>
      <c r="C71" s="28"/>
      <c r="D71" s="28"/>
    </row>
    <row r="72" spans="1:4" ht="20.25" x14ac:dyDescent="0.25">
      <c r="A72" s="97"/>
      <c r="B72" s="20"/>
      <c r="C72" s="28"/>
      <c r="D72" s="28"/>
    </row>
    <row r="73" spans="1:4" ht="20.25" x14ac:dyDescent="0.25">
      <c r="A73" s="97"/>
      <c r="B73" s="20"/>
      <c r="C73" s="28"/>
      <c r="D73" s="28"/>
    </row>
    <row r="74" spans="1:4" ht="20.25" x14ac:dyDescent="0.25">
      <c r="A74" s="97"/>
      <c r="B74" s="20"/>
      <c r="C74" s="28"/>
      <c r="D74" s="28"/>
    </row>
    <row r="75" spans="1:4" ht="20.25" x14ac:dyDescent="0.25">
      <c r="A75" s="97"/>
      <c r="B75" s="20"/>
      <c r="C75" s="28"/>
      <c r="D75" s="28"/>
    </row>
    <row r="76" spans="1:4" ht="20.25" x14ac:dyDescent="0.25">
      <c r="A76" s="97"/>
      <c r="B76" s="20"/>
      <c r="C76" s="28"/>
      <c r="D76" s="28"/>
    </row>
    <row r="77" spans="1:4" ht="20.25" x14ac:dyDescent="0.25">
      <c r="A77" s="97"/>
      <c r="B77" s="20"/>
      <c r="C77" s="28"/>
      <c r="D77" s="28"/>
    </row>
    <row r="78" spans="1:4" ht="20.25" x14ac:dyDescent="0.25">
      <c r="A78" s="97"/>
      <c r="B78" s="20"/>
      <c r="C78" s="28"/>
      <c r="D78" s="28"/>
    </row>
    <row r="79" spans="1:4" ht="20.25" x14ac:dyDescent="0.25">
      <c r="A79" s="97"/>
      <c r="B79" s="20"/>
      <c r="C79" s="28"/>
      <c r="D79" s="28"/>
    </row>
    <row r="80" spans="1:4" ht="20.25" x14ac:dyDescent="0.25">
      <c r="A80" s="97"/>
      <c r="B80" s="20"/>
      <c r="C80" s="28"/>
      <c r="D80" s="28"/>
    </row>
    <row r="81" spans="1:4" ht="20.25" x14ac:dyDescent="0.25">
      <c r="A81" s="97"/>
      <c r="B81" s="20"/>
      <c r="C81" s="28"/>
      <c r="D81" s="28"/>
    </row>
    <row r="82" spans="1:4" ht="20.25" x14ac:dyDescent="0.25">
      <c r="A82" s="97"/>
      <c r="B82" s="20"/>
      <c r="C82" s="28"/>
      <c r="D82" s="28"/>
    </row>
    <row r="83" spans="1:4" ht="20.25" x14ac:dyDescent="0.25">
      <c r="A83" s="97"/>
      <c r="B83" s="20"/>
      <c r="C83" s="28"/>
      <c r="D83" s="28"/>
    </row>
    <row r="84" spans="1:4" ht="20.25" x14ac:dyDescent="0.25">
      <c r="A84" s="97"/>
      <c r="B84" s="20"/>
      <c r="C84" s="28"/>
      <c r="D84" s="28"/>
    </row>
    <row r="85" spans="1:4" ht="20.25" x14ac:dyDescent="0.25">
      <c r="A85" s="97"/>
      <c r="B85" s="20"/>
      <c r="C85" s="28"/>
      <c r="D85" s="28"/>
    </row>
    <row r="86" spans="1:4" ht="20.25" x14ac:dyDescent="0.25">
      <c r="A86" s="97"/>
      <c r="B86" s="20"/>
      <c r="C86" s="28"/>
      <c r="D86" s="28"/>
    </row>
    <row r="87" spans="1:4" ht="20.25" x14ac:dyDescent="0.25">
      <c r="A87" s="97"/>
      <c r="B87" s="20"/>
      <c r="C87" s="28"/>
      <c r="D87" s="28"/>
    </row>
    <row r="88" spans="1:4" ht="20.25" x14ac:dyDescent="0.25">
      <c r="A88" s="97"/>
      <c r="B88" s="20"/>
      <c r="C88" s="28"/>
      <c r="D88" s="28"/>
    </row>
    <row r="89" spans="1:4" ht="20.25" x14ac:dyDescent="0.25">
      <c r="A89" s="97"/>
      <c r="B89" s="20"/>
      <c r="C89" s="28"/>
      <c r="D89" s="28"/>
    </row>
    <row r="90" spans="1:4" ht="20.25" x14ac:dyDescent="0.25">
      <c r="A90" s="97"/>
      <c r="B90" s="20"/>
      <c r="C90" s="28"/>
      <c r="D90" s="28"/>
    </row>
    <row r="91" spans="1:4" ht="20.25" x14ac:dyDescent="0.25">
      <c r="A91" s="97"/>
      <c r="B91" s="20"/>
      <c r="C91" s="28"/>
      <c r="D91" s="28"/>
    </row>
    <row r="92" spans="1:4" ht="20.25" x14ac:dyDescent="0.25">
      <c r="A92" s="97"/>
      <c r="B92" s="20"/>
      <c r="C92" s="28"/>
      <c r="D92" s="28"/>
    </row>
    <row r="93" spans="1:4" ht="20.25" x14ac:dyDescent="0.25">
      <c r="A93" s="97"/>
      <c r="B93" s="20"/>
      <c r="C93" s="28"/>
      <c r="D93" s="28"/>
    </row>
    <row r="94" spans="1:4" ht="20.25" x14ac:dyDescent="0.25">
      <c r="A94" s="97"/>
      <c r="B94" s="20"/>
      <c r="C94" s="28"/>
      <c r="D94" s="28"/>
    </row>
    <row r="95" spans="1:4" ht="20.25" x14ac:dyDescent="0.25">
      <c r="A95" s="97"/>
      <c r="B95" s="20"/>
      <c r="C95" s="28"/>
      <c r="D95" s="28"/>
    </row>
    <row r="96" spans="1:4" ht="20.25" x14ac:dyDescent="0.25">
      <c r="A96" s="97"/>
      <c r="B96" s="20"/>
      <c r="C96" s="28"/>
      <c r="D96" s="28"/>
    </row>
    <row r="97" spans="1:4" ht="20.25" x14ac:dyDescent="0.25">
      <c r="A97" s="97"/>
      <c r="B97" s="20"/>
      <c r="C97" s="28"/>
      <c r="D97" s="28"/>
    </row>
    <row r="98" spans="1:4" ht="20.25" x14ac:dyDescent="0.25">
      <c r="A98" s="97"/>
      <c r="B98" s="20"/>
      <c r="C98" s="28"/>
      <c r="D98" s="28"/>
    </row>
    <row r="99" spans="1:4" ht="20.25" x14ac:dyDescent="0.25">
      <c r="A99" s="97"/>
      <c r="B99" s="20"/>
      <c r="C99" s="28"/>
      <c r="D99" s="28"/>
    </row>
    <row r="100" spans="1:4" ht="20.25" x14ac:dyDescent="0.25">
      <c r="A100" s="97"/>
      <c r="B100" s="20"/>
      <c r="C100" s="28"/>
      <c r="D100" s="28"/>
    </row>
    <row r="101" spans="1:4" ht="20.25" x14ac:dyDescent="0.25">
      <c r="A101" s="97"/>
      <c r="B101" s="20"/>
      <c r="C101" s="28"/>
      <c r="D101" s="28"/>
    </row>
    <row r="102" spans="1:4" ht="20.25" x14ac:dyDescent="0.25">
      <c r="A102" s="97"/>
      <c r="B102" s="20"/>
      <c r="C102" s="28"/>
      <c r="D102" s="28"/>
    </row>
    <row r="103" spans="1:4" ht="20.25" x14ac:dyDescent="0.25">
      <c r="A103" s="97"/>
      <c r="B103" s="20"/>
      <c r="C103" s="28"/>
      <c r="D103" s="28"/>
    </row>
    <row r="104" spans="1:4" ht="20.25" x14ac:dyDescent="0.25">
      <c r="A104" s="97"/>
      <c r="B104" s="20"/>
      <c r="C104" s="28"/>
      <c r="D104" s="28"/>
    </row>
    <row r="105" spans="1:4" ht="20.25" x14ac:dyDescent="0.25">
      <c r="A105" s="97"/>
      <c r="B105" s="20"/>
      <c r="C105" s="28"/>
      <c r="D105" s="28"/>
    </row>
    <row r="106" spans="1:4" ht="20.25" x14ac:dyDescent="0.25">
      <c r="A106" s="97"/>
      <c r="B106" s="20"/>
      <c r="C106" s="28"/>
      <c r="D106" s="28"/>
    </row>
    <row r="107" spans="1:4" ht="20.25" x14ac:dyDescent="0.25">
      <c r="A107" s="97"/>
      <c r="B107" s="20"/>
      <c r="C107" s="28"/>
      <c r="D107" s="28"/>
    </row>
    <row r="108" spans="1:4" ht="20.25" x14ac:dyDescent="0.25">
      <c r="A108" s="97"/>
      <c r="B108" s="20"/>
      <c r="C108" s="28"/>
      <c r="D108" s="28"/>
    </row>
    <row r="109" spans="1:4" ht="20.25" x14ac:dyDescent="0.25">
      <c r="A109" s="97"/>
      <c r="B109" s="20"/>
      <c r="C109" s="28"/>
      <c r="D109" s="28"/>
    </row>
    <row r="110" spans="1:4" ht="20.25" x14ac:dyDescent="0.25">
      <c r="A110" s="97"/>
      <c r="B110" s="20"/>
      <c r="C110" s="28"/>
      <c r="D110" s="28"/>
    </row>
    <row r="111" spans="1:4" ht="20.25" x14ac:dyDescent="0.25">
      <c r="A111" s="97"/>
      <c r="B111" s="20"/>
      <c r="C111" s="28"/>
      <c r="D111" s="28"/>
    </row>
    <row r="112" spans="1:4" ht="20.25" x14ac:dyDescent="0.25">
      <c r="A112" s="97"/>
      <c r="B112" s="20"/>
      <c r="C112" s="28"/>
      <c r="D112" s="28"/>
    </row>
    <row r="113" spans="1:4" ht="20.25" x14ac:dyDescent="0.25">
      <c r="A113" s="97"/>
      <c r="B113" s="20"/>
      <c r="C113" s="28"/>
      <c r="D113" s="28"/>
    </row>
    <row r="114" spans="1:4" ht="20.25" x14ac:dyDescent="0.25">
      <c r="A114" s="97"/>
      <c r="B114" s="20"/>
      <c r="C114" s="28"/>
      <c r="D114" s="28"/>
    </row>
    <row r="115" spans="1:4" ht="20.25" x14ac:dyDescent="0.25">
      <c r="A115" s="97"/>
      <c r="B115" s="20"/>
      <c r="C115" s="28"/>
      <c r="D115" s="28"/>
    </row>
    <row r="116" spans="1:4" ht="20.25" x14ac:dyDescent="0.25">
      <c r="A116" s="97"/>
      <c r="B116" s="20"/>
      <c r="C116" s="28"/>
      <c r="D116" s="28"/>
    </row>
    <row r="117" spans="1:4" ht="20.25" x14ac:dyDescent="0.25">
      <c r="A117" s="97"/>
      <c r="B117" s="20"/>
      <c r="C117" s="28"/>
      <c r="D117" s="28"/>
    </row>
    <row r="118" spans="1:4" ht="20.25" x14ac:dyDescent="0.25">
      <c r="A118" s="97"/>
      <c r="B118" s="20"/>
      <c r="C118" s="28"/>
      <c r="D118" s="28"/>
    </row>
    <row r="119" spans="1:4" ht="20.25" x14ac:dyDescent="0.25">
      <c r="A119" s="97"/>
      <c r="B119" s="20"/>
      <c r="C119" s="28"/>
      <c r="D119" s="28"/>
    </row>
    <row r="120" spans="1:4" ht="20.25" x14ac:dyDescent="0.25">
      <c r="A120" s="97"/>
      <c r="B120" s="20"/>
      <c r="C120" s="28"/>
      <c r="D120" s="28"/>
    </row>
    <row r="121" spans="1:4" ht="20.25" x14ac:dyDescent="0.25">
      <c r="A121" s="97"/>
      <c r="B121" s="20"/>
      <c r="C121" s="28"/>
      <c r="D121" s="28"/>
    </row>
    <row r="122" spans="1:4" ht="20.25" x14ac:dyDescent="0.25">
      <c r="A122" s="97"/>
      <c r="B122" s="20"/>
      <c r="C122" s="28"/>
      <c r="D122" s="28"/>
    </row>
    <row r="123" spans="1:4" ht="20.25" x14ac:dyDescent="0.25">
      <c r="A123" s="97"/>
      <c r="B123" s="20"/>
      <c r="C123" s="28"/>
      <c r="D123" s="28"/>
    </row>
    <row r="124" spans="1:4" ht="20.25" x14ac:dyDescent="0.25">
      <c r="A124" s="97"/>
      <c r="B124" s="20"/>
      <c r="C124" s="28"/>
      <c r="D124" s="28"/>
    </row>
    <row r="125" spans="1:4" ht="20.25" x14ac:dyDescent="0.25">
      <c r="A125" s="97"/>
      <c r="B125" s="20"/>
      <c r="C125" s="28"/>
      <c r="D125" s="28"/>
    </row>
    <row r="126" spans="1:4" ht="20.25" x14ac:dyDescent="0.25">
      <c r="A126" s="97"/>
      <c r="B126" s="20"/>
      <c r="C126" s="28"/>
      <c r="D126" s="28"/>
    </row>
    <row r="127" spans="1:4" ht="20.25" x14ac:dyDescent="0.25">
      <c r="A127" s="97"/>
      <c r="B127" s="20"/>
      <c r="C127" s="28"/>
      <c r="D127" s="28"/>
    </row>
    <row r="128" spans="1:4" ht="20.25" x14ac:dyDescent="0.25">
      <c r="A128" s="97"/>
      <c r="B128" s="20"/>
      <c r="C128" s="28"/>
      <c r="D128" s="28"/>
    </row>
    <row r="129" spans="1:4" ht="20.25" x14ac:dyDescent="0.25">
      <c r="A129" s="97"/>
      <c r="B129" s="20"/>
      <c r="C129" s="28"/>
      <c r="D129" s="28"/>
    </row>
    <row r="130" spans="1:4" ht="20.25" x14ac:dyDescent="0.25">
      <c r="A130" s="97"/>
      <c r="B130" s="20"/>
      <c r="C130" s="28"/>
      <c r="D130" s="28"/>
    </row>
    <row r="131" spans="1:4" ht="20.25" x14ac:dyDescent="0.25">
      <c r="A131" s="97"/>
      <c r="B131" s="20"/>
      <c r="C131" s="28"/>
      <c r="D131" s="28"/>
    </row>
    <row r="132" spans="1:4" ht="20.25" x14ac:dyDescent="0.25">
      <c r="A132" s="97"/>
      <c r="B132" s="20"/>
      <c r="C132" s="28"/>
      <c r="D132" s="28"/>
    </row>
    <row r="133" spans="1:4" ht="20.25" x14ac:dyDescent="0.25">
      <c r="A133" s="97"/>
      <c r="B133" s="20"/>
      <c r="C133" s="28"/>
      <c r="D133" s="28"/>
    </row>
    <row r="134" spans="1:4" ht="20.25" x14ac:dyDescent="0.25">
      <c r="A134" s="97"/>
      <c r="B134" s="20"/>
      <c r="C134" s="28"/>
      <c r="D134" s="28"/>
    </row>
    <row r="135" spans="1:4" ht="20.25" x14ac:dyDescent="0.25">
      <c r="A135" s="97"/>
      <c r="B135" s="20"/>
      <c r="C135" s="28"/>
      <c r="D135" s="28"/>
    </row>
    <row r="136" spans="1:4" ht="20.25" x14ac:dyDescent="0.25">
      <c r="A136" s="97"/>
      <c r="B136" s="20"/>
      <c r="C136" s="28"/>
      <c r="D136" s="28"/>
    </row>
    <row r="137" spans="1:4" ht="20.25" x14ac:dyDescent="0.25">
      <c r="A137" s="97"/>
      <c r="B137" s="20"/>
      <c r="C137" s="28"/>
      <c r="D137" s="28"/>
    </row>
    <row r="138" spans="1:4" ht="20.25" x14ac:dyDescent="0.25">
      <c r="A138" s="97"/>
      <c r="B138" s="20"/>
      <c r="C138" s="28"/>
      <c r="D138" s="28"/>
    </row>
    <row r="139" spans="1:4" ht="20.25" x14ac:dyDescent="0.25">
      <c r="A139" s="97"/>
      <c r="B139" s="20"/>
      <c r="C139" s="28"/>
      <c r="D139" s="28"/>
    </row>
    <row r="140" spans="1:4" ht="20.25" x14ac:dyDescent="0.25">
      <c r="A140" s="97"/>
      <c r="B140" s="20"/>
      <c r="C140" s="28"/>
      <c r="D140" s="28"/>
    </row>
    <row r="141" spans="1:4" ht="20.25" x14ac:dyDescent="0.25">
      <c r="A141" s="97"/>
      <c r="B141" s="20"/>
      <c r="C141" s="28"/>
      <c r="D141" s="28"/>
    </row>
    <row r="142" spans="1:4" ht="20.25" x14ac:dyDescent="0.25">
      <c r="A142" s="97"/>
      <c r="B142" s="20"/>
      <c r="C142" s="28"/>
      <c r="D142" s="28"/>
    </row>
    <row r="143" spans="1:4" ht="20.25" x14ac:dyDescent="0.25">
      <c r="A143" s="97"/>
      <c r="B143" s="20"/>
      <c r="C143" s="28"/>
      <c r="D143" s="28"/>
    </row>
    <row r="144" spans="1:4" ht="20.25" x14ac:dyDescent="0.25">
      <c r="A144" s="97"/>
      <c r="B144" s="20"/>
      <c r="C144" s="28"/>
      <c r="D144" s="28"/>
    </row>
    <row r="145" spans="1:4" ht="20.25" x14ac:dyDescent="0.25">
      <c r="A145" s="97"/>
      <c r="B145" s="20"/>
      <c r="C145" s="28"/>
      <c r="D145" s="28"/>
    </row>
    <row r="146" spans="1:4" ht="20.25" x14ac:dyDescent="0.25">
      <c r="A146" s="97"/>
      <c r="B146" s="20"/>
      <c r="C146" s="28"/>
      <c r="D146" s="28"/>
    </row>
    <row r="147" spans="1:4" ht="20.25" x14ac:dyDescent="0.25">
      <c r="A147" s="97"/>
      <c r="B147" s="20"/>
      <c r="C147" s="28"/>
      <c r="D147" s="28"/>
    </row>
    <row r="148" spans="1:4" ht="20.25" x14ac:dyDescent="0.25">
      <c r="A148" s="97"/>
      <c r="B148" s="20"/>
      <c r="C148" s="28"/>
      <c r="D148" s="28"/>
    </row>
    <row r="149" spans="1:4" ht="20.25" x14ac:dyDescent="0.25">
      <c r="A149" s="97"/>
      <c r="B149" s="20"/>
      <c r="C149" s="28"/>
      <c r="D149" s="28"/>
    </row>
    <row r="150" spans="1:4" ht="20.25" x14ac:dyDescent="0.25">
      <c r="A150" s="97"/>
      <c r="B150" s="20"/>
      <c r="C150" s="28"/>
      <c r="D150" s="28"/>
    </row>
    <row r="151" spans="1:4" ht="20.25" x14ac:dyDescent="0.25">
      <c r="A151" s="97"/>
      <c r="B151" s="20"/>
      <c r="C151" s="28"/>
      <c r="D151" s="28"/>
    </row>
    <row r="152" spans="1:4" ht="20.25" x14ac:dyDescent="0.25">
      <c r="A152" s="97"/>
      <c r="B152" s="20"/>
      <c r="C152" s="28"/>
      <c r="D152" s="28"/>
    </row>
    <row r="153" spans="1:4" ht="20.25" x14ac:dyDescent="0.25">
      <c r="A153" s="97"/>
      <c r="B153" s="20"/>
      <c r="C153" s="28"/>
      <c r="D153" s="28"/>
    </row>
    <row r="154" spans="1:4" ht="20.25" x14ac:dyDescent="0.25">
      <c r="A154" s="97"/>
      <c r="B154" s="20"/>
      <c r="C154" s="28"/>
      <c r="D154" s="28"/>
    </row>
    <row r="155" spans="1:4" ht="20.25" x14ac:dyDescent="0.25">
      <c r="A155" s="97"/>
      <c r="B155" s="20"/>
      <c r="C155" s="28"/>
      <c r="D155" s="28"/>
    </row>
    <row r="156" spans="1:4" ht="20.25" x14ac:dyDescent="0.25">
      <c r="A156" s="97"/>
      <c r="B156" s="20"/>
      <c r="C156" s="28"/>
      <c r="D156" s="28"/>
    </row>
    <row r="157" spans="1:4" ht="20.25" x14ac:dyDescent="0.25">
      <c r="A157" s="97"/>
      <c r="B157" s="20"/>
      <c r="C157" s="28"/>
      <c r="D157" s="28"/>
    </row>
    <row r="158" spans="1:4" ht="20.25" x14ac:dyDescent="0.25">
      <c r="A158" s="97"/>
      <c r="B158" s="20"/>
      <c r="C158" s="28"/>
      <c r="D158" s="28"/>
    </row>
    <row r="159" spans="1:4" ht="20.25" x14ac:dyDescent="0.25">
      <c r="A159" s="97"/>
      <c r="B159" s="20"/>
      <c r="C159" s="28"/>
      <c r="D159" s="28"/>
    </row>
    <row r="160" spans="1:4" ht="20.25" x14ac:dyDescent="0.25">
      <c r="A160" s="97"/>
      <c r="B160" s="20"/>
      <c r="C160" s="28"/>
      <c r="D160" s="28"/>
    </row>
    <row r="161" spans="1:4" ht="20.25" x14ac:dyDescent="0.25">
      <c r="A161" s="97"/>
      <c r="B161" s="20"/>
      <c r="C161" s="28"/>
      <c r="D161" s="28"/>
    </row>
    <row r="162" spans="1:4" ht="20.25" x14ac:dyDescent="0.25">
      <c r="A162" s="97"/>
      <c r="B162" s="20"/>
      <c r="C162" s="28"/>
      <c r="D162" s="28"/>
    </row>
    <row r="163" spans="1:4" ht="20.25" x14ac:dyDescent="0.25">
      <c r="A163" s="97"/>
      <c r="B163" s="20"/>
      <c r="C163" s="28"/>
      <c r="D163" s="28"/>
    </row>
    <row r="164" spans="1:4" ht="20.25" x14ac:dyDescent="0.25">
      <c r="A164" s="97"/>
      <c r="B164" s="20"/>
      <c r="C164" s="28"/>
      <c r="D164" s="28"/>
    </row>
    <row r="165" spans="1:4" ht="20.25" x14ac:dyDescent="0.25">
      <c r="A165" s="97"/>
      <c r="B165" s="20"/>
      <c r="C165" s="28"/>
      <c r="D165" s="28"/>
    </row>
    <row r="166" spans="1:4" ht="20.25" x14ac:dyDescent="0.25">
      <c r="A166" s="97"/>
      <c r="B166" s="20"/>
      <c r="C166" s="28"/>
      <c r="D166" s="28"/>
    </row>
    <row r="167" spans="1:4" ht="20.25" x14ac:dyDescent="0.25">
      <c r="A167" s="97"/>
      <c r="B167" s="20"/>
      <c r="C167" s="28"/>
      <c r="D167" s="28"/>
    </row>
    <row r="168" spans="1:4" ht="20.25" x14ac:dyDescent="0.25">
      <c r="A168" s="97"/>
      <c r="B168" s="20"/>
      <c r="C168" s="28"/>
      <c r="D168" s="28"/>
    </row>
    <row r="169" spans="1:4" ht="20.25" x14ac:dyDescent="0.25">
      <c r="A169" s="97"/>
      <c r="B169" s="20"/>
      <c r="C169" s="28"/>
      <c r="D169" s="28"/>
    </row>
    <row r="170" spans="1:4" ht="20.25" x14ac:dyDescent="0.25">
      <c r="A170" s="97"/>
      <c r="B170" s="20"/>
      <c r="C170" s="28"/>
      <c r="D170" s="28"/>
    </row>
    <row r="171" spans="1:4" ht="20.25" x14ac:dyDescent="0.25">
      <c r="A171" s="97"/>
      <c r="B171" s="20"/>
      <c r="C171" s="28"/>
      <c r="D171" s="28"/>
    </row>
    <row r="172" spans="1:4" ht="20.25" x14ac:dyDescent="0.25">
      <c r="A172" s="97"/>
      <c r="B172" s="20"/>
      <c r="C172" s="28"/>
      <c r="D172" s="28"/>
    </row>
    <row r="173" spans="1:4" ht="20.25" x14ac:dyDescent="0.25">
      <c r="A173" s="97"/>
      <c r="B173" s="20"/>
      <c r="C173" s="28"/>
      <c r="D173" s="28"/>
    </row>
    <row r="174" spans="1:4" ht="20.25" x14ac:dyDescent="0.25">
      <c r="A174" s="97"/>
      <c r="B174" s="20"/>
      <c r="C174" s="28"/>
      <c r="D174" s="28"/>
    </row>
    <row r="175" spans="1:4" ht="20.25" x14ac:dyDescent="0.25">
      <c r="A175" s="97"/>
      <c r="B175" s="20"/>
      <c r="C175" s="28"/>
      <c r="D175" s="28"/>
    </row>
    <row r="176" spans="1:4" ht="20.25" x14ac:dyDescent="0.25">
      <c r="A176" s="97"/>
      <c r="B176" s="20"/>
      <c r="C176" s="28"/>
      <c r="D176" s="28"/>
    </row>
    <row r="177" spans="1:4" ht="20.25" x14ac:dyDescent="0.25">
      <c r="A177" s="97"/>
      <c r="B177" s="20"/>
      <c r="C177" s="28"/>
      <c r="D177" s="28"/>
    </row>
    <row r="178" spans="1:4" ht="20.25" x14ac:dyDescent="0.25">
      <c r="A178" s="97"/>
      <c r="B178" s="20"/>
      <c r="C178" s="28"/>
      <c r="D178" s="28"/>
    </row>
    <row r="179" spans="1:4" ht="20.25" x14ac:dyDescent="0.25">
      <c r="A179" s="97"/>
      <c r="B179" s="20"/>
      <c r="C179" s="28"/>
      <c r="D179" s="28"/>
    </row>
    <row r="180" spans="1:4" ht="20.25" x14ac:dyDescent="0.25">
      <c r="A180" s="97"/>
      <c r="B180" s="20"/>
      <c r="C180" s="28"/>
      <c r="D180" s="28"/>
    </row>
    <row r="181" spans="1:4" ht="20.25" x14ac:dyDescent="0.25">
      <c r="A181" s="97"/>
      <c r="B181" s="20"/>
      <c r="C181" s="28"/>
      <c r="D181" s="28"/>
    </row>
    <row r="182" spans="1:4" ht="20.25" x14ac:dyDescent="0.25">
      <c r="A182" s="97"/>
      <c r="B182" s="20"/>
      <c r="C182" s="28"/>
      <c r="D182" s="28"/>
    </row>
    <row r="183" spans="1:4" ht="20.25" x14ac:dyDescent="0.25">
      <c r="A183" s="97"/>
      <c r="B183" s="20"/>
      <c r="C183" s="28"/>
      <c r="D183" s="28"/>
    </row>
    <row r="184" spans="1:4" ht="20.25" x14ac:dyDescent="0.25">
      <c r="A184" s="97"/>
      <c r="B184" s="20"/>
      <c r="C184" s="28"/>
      <c r="D184" s="28"/>
    </row>
    <row r="185" spans="1:4" ht="20.25" x14ac:dyDescent="0.25">
      <c r="A185" s="97"/>
      <c r="B185" s="20"/>
      <c r="C185" s="28"/>
      <c r="D185" s="28"/>
    </row>
    <row r="186" spans="1:4" ht="20.25" x14ac:dyDescent="0.25">
      <c r="A186" s="97"/>
      <c r="B186" s="20"/>
      <c r="C186" s="28"/>
      <c r="D186" s="28"/>
    </row>
    <row r="187" spans="1:4" ht="20.25" x14ac:dyDescent="0.25">
      <c r="A187" s="97"/>
      <c r="B187" s="20"/>
      <c r="C187" s="28"/>
      <c r="D187" s="28"/>
    </row>
    <row r="188" spans="1:4" ht="20.25" x14ac:dyDescent="0.25">
      <c r="A188" s="97"/>
      <c r="B188" s="20"/>
      <c r="C188" s="28"/>
      <c r="D188" s="28"/>
    </row>
    <row r="189" spans="1:4" ht="20.25" x14ac:dyDescent="0.25">
      <c r="A189" s="97"/>
      <c r="B189" s="20"/>
      <c r="C189" s="28"/>
      <c r="D189" s="28"/>
    </row>
    <row r="190" spans="1:4" ht="20.25" x14ac:dyDescent="0.25">
      <c r="A190" s="97"/>
      <c r="B190" s="20"/>
      <c r="C190" s="28"/>
      <c r="D190" s="28"/>
    </row>
    <row r="191" spans="1:4" ht="20.25" x14ac:dyDescent="0.25">
      <c r="A191" s="97"/>
      <c r="B191" s="20"/>
      <c r="C191" s="28"/>
      <c r="D191" s="28"/>
    </row>
    <row r="192" spans="1:4" ht="20.25" x14ac:dyDescent="0.25">
      <c r="A192" s="97"/>
      <c r="B192" s="20"/>
      <c r="C192" s="28"/>
      <c r="D192" s="28"/>
    </row>
    <row r="193" spans="1:4" ht="20.25" x14ac:dyDescent="0.25">
      <c r="A193" s="97"/>
      <c r="B193" s="20"/>
      <c r="C193" s="28"/>
      <c r="D193" s="28"/>
    </row>
    <row r="194" spans="1:4" ht="20.25" x14ac:dyDescent="0.25">
      <c r="A194" s="97"/>
      <c r="B194" s="20"/>
      <c r="C194" s="28"/>
      <c r="D194" s="28"/>
    </row>
    <row r="195" spans="1:4" ht="20.25" x14ac:dyDescent="0.25">
      <c r="A195" s="97"/>
      <c r="B195" s="20"/>
      <c r="C195" s="28"/>
      <c r="D195" s="28"/>
    </row>
    <row r="196" spans="1:4" ht="20.25" x14ac:dyDescent="0.25">
      <c r="A196" s="97"/>
      <c r="B196" s="20"/>
      <c r="C196" s="28"/>
      <c r="D196" s="28"/>
    </row>
    <row r="197" spans="1:4" ht="20.25" x14ac:dyDescent="0.25">
      <c r="A197" s="97"/>
      <c r="B197" s="20"/>
      <c r="C197" s="28"/>
      <c r="D197" s="28"/>
    </row>
    <row r="198" spans="1:4" ht="20.25" x14ac:dyDescent="0.25">
      <c r="A198" s="97"/>
      <c r="B198" s="20"/>
      <c r="C198" s="28"/>
      <c r="D198" s="28"/>
    </row>
    <row r="199" spans="1:4" ht="20.25" x14ac:dyDescent="0.25">
      <c r="A199" s="97"/>
      <c r="B199" s="20"/>
      <c r="C199" s="28"/>
      <c r="D199" s="28"/>
    </row>
    <row r="200" spans="1:4" ht="20.25" x14ac:dyDescent="0.25">
      <c r="A200" s="97"/>
      <c r="B200" s="20"/>
      <c r="C200" s="28"/>
      <c r="D200" s="28"/>
    </row>
    <row r="201" spans="1:4" ht="20.25" x14ac:dyDescent="0.25">
      <c r="A201" s="97"/>
      <c r="B201" s="20"/>
      <c r="C201" s="28"/>
      <c r="D201" s="28"/>
    </row>
    <row r="202" spans="1:4" ht="20.25" x14ac:dyDescent="0.25">
      <c r="A202" s="97"/>
      <c r="B202" s="20"/>
      <c r="C202" s="28"/>
      <c r="D202" s="28"/>
    </row>
    <row r="203" spans="1:4" ht="20.25" x14ac:dyDescent="0.25">
      <c r="A203" s="97"/>
      <c r="B203" s="20"/>
      <c r="C203" s="28"/>
      <c r="D203" s="28"/>
    </row>
    <row r="204" spans="1:4" ht="20.25" x14ac:dyDescent="0.25">
      <c r="A204" s="97"/>
      <c r="B204" s="20"/>
      <c r="C204" s="28"/>
      <c r="D204" s="28"/>
    </row>
    <row r="205" spans="1:4" ht="20.25" x14ac:dyDescent="0.25">
      <c r="A205" s="97"/>
      <c r="B205" s="20"/>
      <c r="C205" s="28"/>
      <c r="D205" s="28"/>
    </row>
    <row r="206" spans="1:4" ht="20.25" x14ac:dyDescent="0.25">
      <c r="A206" s="97"/>
      <c r="B206" s="20"/>
      <c r="C206" s="28"/>
      <c r="D206" s="28"/>
    </row>
    <row r="207" spans="1:4" ht="20.25" x14ac:dyDescent="0.25">
      <c r="A207" s="97"/>
      <c r="B207" s="20"/>
      <c r="C207" s="28"/>
      <c r="D207" s="28"/>
    </row>
    <row r="208" spans="1:4" x14ac:dyDescent="0.25">
      <c r="A208" s="77"/>
      <c r="B208" s="20"/>
      <c r="C208" s="20"/>
      <c r="D208" s="20"/>
    </row>
    <row r="209" spans="1:8" ht="20.25" x14ac:dyDescent="0.25">
      <c r="A209" s="77"/>
      <c r="B209" s="24" t="s">
        <v>588</v>
      </c>
      <c r="C209" s="24" t="s">
        <v>589</v>
      </c>
      <c r="D209" s="27" t="s">
        <v>588</v>
      </c>
      <c r="E209" s="27" t="s">
        <v>589</v>
      </c>
    </row>
    <row r="210" spans="1:8" ht="21" x14ac:dyDescent="0.35">
      <c r="A210" s="77"/>
      <c r="B210" s="25" t="s">
        <v>590</v>
      </c>
      <c r="C210" s="25" t="s">
        <v>591</v>
      </c>
      <c r="D210" t="s">
        <v>590</v>
      </c>
      <c r="F210" t="str">
        <f>IF(NOT(ISBLANK(D210)),D210,IF(NOT(ISBLANK(E210)),"     "&amp;E210,FALSE))</f>
        <v>Afectación Económica o presupuestal</v>
      </c>
      <c r="G210" t="s">
        <v>590</v>
      </c>
      <c r="H210" t="str">
        <f>IF(NOT(ISERROR(MATCH(G210,_xlfn.ANCHORARRAY(B221),0))),F223&amp;"Por favor no seleccionar los criterios de impacto",G210)</f>
        <v>❌Por favor no seleccionar los criterios de impacto</v>
      </c>
    </row>
    <row r="211" spans="1:8" ht="21" x14ac:dyDescent="0.35">
      <c r="A211" s="77"/>
      <c r="B211" s="25" t="s">
        <v>590</v>
      </c>
      <c r="C211" s="25" t="s">
        <v>569</v>
      </c>
      <c r="E211" t="s">
        <v>591</v>
      </c>
      <c r="F211" t="str">
        <f t="shared" ref="F211:F221" si="0">IF(NOT(ISBLANK(D211)),D211,IF(NOT(ISBLANK(E211)),"     "&amp;E211,FALSE))</f>
        <v xml:space="preserve">     Afectación menor a 10 SMLMV .</v>
      </c>
    </row>
    <row r="212" spans="1:8" ht="21" x14ac:dyDescent="0.35">
      <c r="A212" s="77"/>
      <c r="B212" s="25" t="s">
        <v>590</v>
      </c>
      <c r="C212" s="25" t="s">
        <v>572</v>
      </c>
      <c r="E212" t="s">
        <v>569</v>
      </c>
      <c r="F212" t="str">
        <f t="shared" si="0"/>
        <v xml:space="preserve">     Entre 10 y 50 SMLMV </v>
      </c>
    </row>
    <row r="213" spans="1:8" ht="21" x14ac:dyDescent="0.35">
      <c r="A213" s="77"/>
      <c r="B213" s="25" t="s">
        <v>590</v>
      </c>
      <c r="C213" s="25" t="s">
        <v>575</v>
      </c>
      <c r="E213" t="s">
        <v>572</v>
      </c>
      <c r="F213" t="str">
        <f t="shared" si="0"/>
        <v xml:space="preserve">     Entre 50 y 100 SMLMV </v>
      </c>
    </row>
    <row r="214" spans="1:8" ht="21" x14ac:dyDescent="0.35">
      <c r="A214" s="77"/>
      <c r="B214" s="25" t="s">
        <v>590</v>
      </c>
      <c r="C214" s="25" t="s">
        <v>578</v>
      </c>
      <c r="E214" t="s">
        <v>575</v>
      </c>
      <c r="F214" t="str">
        <f t="shared" si="0"/>
        <v xml:space="preserve">     Entre 100 y 500 SMLMV </v>
      </c>
    </row>
    <row r="215" spans="1:8" ht="21" x14ac:dyDescent="0.35">
      <c r="A215" s="77"/>
      <c r="B215" s="25" t="s">
        <v>562</v>
      </c>
      <c r="C215" s="25" t="s">
        <v>566</v>
      </c>
      <c r="E215" t="s">
        <v>578</v>
      </c>
      <c r="F215" t="str">
        <f t="shared" si="0"/>
        <v xml:space="preserve">     Mayor a 500 SMLMV </v>
      </c>
    </row>
    <row r="216" spans="1:8" ht="21" x14ac:dyDescent="0.35">
      <c r="A216" s="77"/>
      <c r="B216" s="25" t="s">
        <v>562</v>
      </c>
      <c r="C216" s="25" t="s">
        <v>570</v>
      </c>
      <c r="D216" t="s">
        <v>562</v>
      </c>
      <c r="F216" t="str">
        <f t="shared" si="0"/>
        <v>Pérdida Reputacional</v>
      </c>
    </row>
    <row r="217" spans="1:8" ht="21" x14ac:dyDescent="0.35">
      <c r="A217" s="77"/>
      <c r="B217" s="25" t="s">
        <v>562</v>
      </c>
      <c r="C217" s="25" t="s">
        <v>573</v>
      </c>
      <c r="E217" t="s">
        <v>566</v>
      </c>
      <c r="F217" t="str">
        <f t="shared" si="0"/>
        <v xml:space="preserve">     El riesgo afecta la imagen de alguna área de la organización</v>
      </c>
    </row>
    <row r="218" spans="1:8" ht="21" x14ac:dyDescent="0.35">
      <c r="A218" s="77"/>
      <c r="B218" s="25" t="s">
        <v>562</v>
      </c>
      <c r="C218" s="25" t="s">
        <v>576</v>
      </c>
      <c r="E218" t="s">
        <v>570</v>
      </c>
      <c r="F218" t="str">
        <f t="shared" si="0"/>
        <v xml:space="preserve">     El riesgo afecta la imagen de la entidad internamente, de conocimiento general, nivel interno, de junta dircetiva y accionistas y/o de provedores</v>
      </c>
    </row>
    <row r="219" spans="1:8" ht="21" x14ac:dyDescent="0.35">
      <c r="A219" s="77"/>
      <c r="B219" s="25" t="s">
        <v>562</v>
      </c>
      <c r="C219" s="25" t="s">
        <v>579</v>
      </c>
      <c r="E219" t="s">
        <v>573</v>
      </c>
      <c r="F219" t="str">
        <f t="shared" si="0"/>
        <v xml:space="preserve">     El riesgo afecta la imagen de la entidad con algunos usuarios de relevancia frente al logro de los objetivos</v>
      </c>
    </row>
    <row r="220" spans="1:8" x14ac:dyDescent="0.25">
      <c r="A220" s="77"/>
      <c r="B220" s="26"/>
      <c r="C220" s="26"/>
      <c r="E220" t="s">
        <v>576</v>
      </c>
      <c r="F220" t="str">
        <f t="shared" si="0"/>
        <v xml:space="preserve">     El riesgo afecta la imagen de de la entidad con efecto publicitario sostenido a nivel de sector administrativo, nivel departamental o municipal</v>
      </c>
    </row>
    <row r="221" spans="1:8" x14ac:dyDescent="0.25">
      <c r="A221" s="77"/>
      <c r="B221" s="26" t="str" cm="1">
        <f t="array" ref="B221:B223">_xlfn.UNIQUE(Tabla1[[#All],[Criterios]])</f>
        <v>Criterios</v>
      </c>
      <c r="C221" s="26"/>
      <c r="E221" t="s">
        <v>579</v>
      </c>
      <c r="F221" t="str">
        <f t="shared" si="0"/>
        <v xml:space="preserve">     El riesgo afecta la imagen de la entidad a nivel nacional, con efecto publicitarios sostenible a nivel país</v>
      </c>
    </row>
    <row r="222" spans="1:8" x14ac:dyDescent="0.25">
      <c r="A222" s="77"/>
      <c r="B222" s="26" t="str">
        <v>Afectación Económica o presupuestal</v>
      </c>
      <c r="C222" s="26"/>
    </row>
    <row r="223" spans="1:8" x14ac:dyDescent="0.25">
      <c r="B223" s="26" t="str">
        <v>Pérdida Reputacional</v>
      </c>
      <c r="C223" s="26"/>
      <c r="F223" s="29" t="s">
        <v>592</v>
      </c>
    </row>
    <row r="224" spans="1:8" x14ac:dyDescent="0.25">
      <c r="B224" s="19"/>
      <c r="C224" s="19"/>
      <c r="F224" s="29" t="s">
        <v>593</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zoomScale="120" zoomScaleNormal="120" workbookViewId="0">
      <selection activeCell="B1" sqref="B1:F1"/>
    </sheetView>
  </sheetViews>
  <sheetFormatPr baseColWidth="10" defaultColWidth="14.28515625" defaultRowHeight="12.75" x14ac:dyDescent="0.2"/>
  <cols>
    <col min="1" max="2" width="14.28515625" style="82"/>
    <col min="3" max="3" width="17" style="82" customWidth="1"/>
    <col min="4" max="4" width="14.28515625" style="82"/>
    <col min="5" max="5" width="46" style="82" customWidth="1"/>
    <col min="6" max="16384" width="14.28515625" style="82"/>
  </cols>
  <sheetData>
    <row r="1" spans="2:6" ht="24" customHeight="1" thickBot="1" x14ac:dyDescent="0.25">
      <c r="B1" s="820" t="s">
        <v>594</v>
      </c>
      <c r="C1" s="821"/>
      <c r="D1" s="821"/>
      <c r="E1" s="821"/>
      <c r="F1" s="822"/>
    </row>
    <row r="2" spans="2:6" ht="16.5" thickBot="1" x14ac:dyDescent="0.3">
      <c r="B2" s="83"/>
      <c r="C2" s="83"/>
      <c r="D2" s="83"/>
      <c r="E2" s="83"/>
      <c r="F2" s="83"/>
    </row>
    <row r="3" spans="2:6" ht="16.5" thickBot="1" x14ac:dyDescent="0.25">
      <c r="B3" s="824" t="s">
        <v>595</v>
      </c>
      <c r="C3" s="825"/>
      <c r="D3" s="825"/>
      <c r="E3" s="95" t="s">
        <v>2</v>
      </c>
      <c r="F3" s="96" t="s">
        <v>596</v>
      </c>
    </row>
    <row r="4" spans="2:6" ht="31.5" x14ac:dyDescent="0.2">
      <c r="B4" s="826" t="s">
        <v>597</v>
      </c>
      <c r="C4" s="828" t="s">
        <v>165</v>
      </c>
      <c r="D4" s="84" t="s">
        <v>358</v>
      </c>
      <c r="E4" s="85" t="s">
        <v>598</v>
      </c>
      <c r="F4" s="86">
        <v>0.25</v>
      </c>
    </row>
    <row r="5" spans="2:6" ht="47.25" x14ac:dyDescent="0.2">
      <c r="B5" s="827"/>
      <c r="C5" s="829"/>
      <c r="D5" s="87" t="s">
        <v>522</v>
      </c>
      <c r="E5" s="88" t="s">
        <v>599</v>
      </c>
      <c r="F5" s="89">
        <v>0.15</v>
      </c>
    </row>
    <row r="6" spans="2:6" ht="47.25" x14ac:dyDescent="0.2">
      <c r="B6" s="827"/>
      <c r="C6" s="829"/>
      <c r="D6" s="87" t="s">
        <v>462</v>
      </c>
      <c r="E6" s="88" t="s">
        <v>600</v>
      </c>
      <c r="F6" s="89">
        <v>0.1</v>
      </c>
    </row>
    <row r="7" spans="2:6" ht="63" x14ac:dyDescent="0.2">
      <c r="B7" s="827"/>
      <c r="C7" s="829" t="s">
        <v>337</v>
      </c>
      <c r="D7" s="87" t="s">
        <v>601</v>
      </c>
      <c r="E7" s="88" t="s">
        <v>602</v>
      </c>
      <c r="F7" s="89">
        <v>0.25</v>
      </c>
    </row>
    <row r="8" spans="2:6" ht="31.5" x14ac:dyDescent="0.2">
      <c r="B8" s="827"/>
      <c r="C8" s="829"/>
      <c r="D8" s="87" t="s">
        <v>359</v>
      </c>
      <c r="E8" s="88" t="s">
        <v>603</v>
      </c>
      <c r="F8" s="89">
        <v>0.15</v>
      </c>
    </row>
    <row r="9" spans="2:6" ht="47.25" x14ac:dyDescent="0.2">
      <c r="B9" s="827" t="s">
        <v>604</v>
      </c>
      <c r="C9" s="829" t="s">
        <v>339</v>
      </c>
      <c r="D9" s="87" t="s">
        <v>360</v>
      </c>
      <c r="E9" s="88" t="s">
        <v>605</v>
      </c>
      <c r="F9" s="90" t="s">
        <v>606</v>
      </c>
    </row>
    <row r="10" spans="2:6" ht="63" x14ac:dyDescent="0.2">
      <c r="B10" s="827"/>
      <c r="C10" s="829"/>
      <c r="D10" s="87" t="s">
        <v>607</v>
      </c>
      <c r="E10" s="88" t="s">
        <v>608</v>
      </c>
      <c r="F10" s="90" t="s">
        <v>606</v>
      </c>
    </row>
    <row r="11" spans="2:6" ht="47.25" x14ac:dyDescent="0.2">
      <c r="B11" s="827"/>
      <c r="C11" s="829" t="s">
        <v>340</v>
      </c>
      <c r="D11" s="87" t="s">
        <v>361</v>
      </c>
      <c r="E11" s="88" t="s">
        <v>609</v>
      </c>
      <c r="F11" s="90" t="s">
        <v>606</v>
      </c>
    </row>
    <row r="12" spans="2:6" ht="47.25" x14ac:dyDescent="0.2">
      <c r="B12" s="827"/>
      <c r="C12" s="829"/>
      <c r="D12" s="87" t="s">
        <v>610</v>
      </c>
      <c r="E12" s="88" t="s">
        <v>611</v>
      </c>
      <c r="F12" s="90" t="s">
        <v>606</v>
      </c>
    </row>
    <row r="13" spans="2:6" ht="31.5" x14ac:dyDescent="0.2">
      <c r="B13" s="827"/>
      <c r="C13" s="829" t="s">
        <v>341</v>
      </c>
      <c r="D13" s="87" t="s">
        <v>362</v>
      </c>
      <c r="E13" s="88" t="s">
        <v>612</v>
      </c>
      <c r="F13" s="90" t="s">
        <v>606</v>
      </c>
    </row>
    <row r="14" spans="2:6" ht="32.25" thickBot="1" x14ac:dyDescent="0.25">
      <c r="B14" s="830"/>
      <c r="C14" s="831"/>
      <c r="D14" s="91" t="s">
        <v>472</v>
      </c>
      <c r="E14" s="92" t="s">
        <v>613</v>
      </c>
      <c r="F14" s="93" t="s">
        <v>606</v>
      </c>
    </row>
    <row r="15" spans="2:6" ht="49.5" customHeight="1" x14ac:dyDescent="0.2">
      <c r="B15" s="823" t="s">
        <v>614</v>
      </c>
      <c r="C15" s="823"/>
      <c r="D15" s="823"/>
      <c r="E15" s="823"/>
      <c r="F15" s="823"/>
    </row>
    <row r="16" spans="2:6" ht="27" customHeight="1" x14ac:dyDescent="0.25">
      <c r="B16" s="9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615</v>
      </c>
      <c r="E2" t="s">
        <v>616</v>
      </c>
    </row>
    <row r="3" spans="2:5" x14ac:dyDescent="0.25">
      <c r="B3" t="s">
        <v>617</v>
      </c>
      <c r="E3" t="s">
        <v>496</v>
      </c>
    </row>
    <row r="4" spans="2:5" x14ac:dyDescent="0.25">
      <c r="B4" t="s">
        <v>618</v>
      </c>
      <c r="E4" t="s">
        <v>347</v>
      </c>
    </row>
    <row r="5" spans="2:5" x14ac:dyDescent="0.25">
      <c r="B5" t="s">
        <v>363</v>
      </c>
    </row>
    <row r="8" spans="2:5" x14ac:dyDescent="0.25">
      <c r="B8" t="s">
        <v>619</v>
      </c>
    </row>
    <row r="9" spans="2:5" x14ac:dyDescent="0.25">
      <c r="B9" t="s">
        <v>620</v>
      </c>
    </row>
    <row r="10" spans="2:5" x14ac:dyDescent="0.25">
      <c r="B10" t="s">
        <v>621</v>
      </c>
    </row>
    <row r="13" spans="2:5" x14ac:dyDescent="0.25">
      <c r="B13" t="s">
        <v>622</v>
      </c>
    </row>
    <row r="14" spans="2:5" x14ac:dyDescent="0.25">
      <c r="B14" t="s">
        <v>623</v>
      </c>
    </row>
    <row r="15" spans="2:5" x14ac:dyDescent="0.25">
      <c r="B15" t="s">
        <v>624</v>
      </c>
    </row>
    <row r="16" spans="2:5" x14ac:dyDescent="0.25">
      <c r="B16" t="s">
        <v>625</v>
      </c>
    </row>
    <row r="17" spans="2:2" x14ac:dyDescent="0.25">
      <c r="B17" t="s">
        <v>626</v>
      </c>
    </row>
    <row r="18" spans="2:2" x14ac:dyDescent="0.25">
      <c r="B18" t="s">
        <v>627</v>
      </c>
    </row>
    <row r="19" spans="2:2" x14ac:dyDescent="0.25">
      <c r="B19" t="s">
        <v>628</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5c3df59-1e45-4948-920f-158a03961604">
      <Terms xmlns="http://schemas.microsoft.com/office/infopath/2007/PartnerControls"/>
    </lcf76f155ced4ddcb4097134ff3c332f>
    <TaxCatchAll xmlns="5e8a9419-ea42-4b20-9f97-5670b63b9fa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6FAB1DF2CB00D4293B4002BFAFF2FD3" ma:contentTypeVersion="11" ma:contentTypeDescription="Crear nuevo documento." ma:contentTypeScope="" ma:versionID="d7c29dfb589a37a9f9e8c4b6df174e11">
  <xsd:schema xmlns:xsd="http://www.w3.org/2001/XMLSchema" xmlns:xs="http://www.w3.org/2001/XMLSchema" xmlns:p="http://schemas.microsoft.com/office/2006/metadata/properties" xmlns:ns2="d5c3df59-1e45-4948-920f-158a03961604" xmlns:ns3="5e8a9419-ea42-4b20-9f97-5670b63b9fa6" targetNamespace="http://schemas.microsoft.com/office/2006/metadata/properties" ma:root="true" ma:fieldsID="8ec046206cf0041220316bbd7ec67b35" ns2:_="" ns3:_="">
    <xsd:import namespace="d5c3df59-1e45-4948-920f-158a03961604"/>
    <xsd:import namespace="5e8a9419-ea42-4b20-9f97-5670b63b9fa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3df59-1e45-4948-920f-158a039616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7f49090a-7cff-4509-a609-b514d5cfedb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8a9419-ea42-4b20-9f97-5670b63b9fa6"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58360562-a053-4d88-8300-f8e7d20f65c4}" ma:internalName="TaxCatchAll" ma:showField="CatchAllData" ma:web="5e8a9419-ea42-4b20-9f97-5670b63b9f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D84E4A-290E-4E05-8F39-73113A58CCCA}">
  <ds:schemaRefs>
    <ds:schemaRef ds:uri="http://schemas.microsoft.com/office/2006/metadata/properties"/>
    <ds:schemaRef ds:uri="http://schemas.microsoft.com/office/infopath/2007/PartnerControls"/>
    <ds:schemaRef ds:uri="d5c3df59-1e45-4948-920f-158a03961604"/>
    <ds:schemaRef ds:uri="5e8a9419-ea42-4b20-9f97-5670b63b9fa6"/>
  </ds:schemaRefs>
</ds:datastoreItem>
</file>

<file path=customXml/itemProps2.xml><?xml version="1.0" encoding="utf-8"?>
<ds:datastoreItem xmlns:ds="http://schemas.openxmlformats.org/officeDocument/2006/customXml" ds:itemID="{942198BE-101D-47F2-A216-C90C84E282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3df59-1e45-4948-920f-158a03961604"/>
    <ds:schemaRef ds:uri="5e8a9419-ea42-4b20-9f97-5670b63b9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57DC54-D84E-4CEE-9396-428F2DD81D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Riesgo-Vulne-Amenaza</vt: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Andres Jose Garcia Cadena</cp:lastModifiedBy>
  <cp:revision/>
  <dcterms:created xsi:type="dcterms:W3CDTF">2020-03-24T23:12:47Z</dcterms:created>
  <dcterms:modified xsi:type="dcterms:W3CDTF">2024-01-31T21:04:05Z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0x010100E6FAB1DF2CB00D4293B4002BFAFF2FD3</vt:lpwstr>
  </property>
  <property fmtid="{D5CDD505-2E9C-101B-9397-08002B2CF9AE}" pid="3" name="MediaServiceImageTags">
    <vt:lpwstr/>
  </property>
</Properties>
</file>