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11"/>
  <workbookPr defaultThemeVersion="124226"/>
  <mc:AlternateContent xmlns:mc="http://schemas.openxmlformats.org/markup-compatibility/2006">
    <mc:Choice Requires="x15">
      <x15ac:absPath xmlns:x15ac="http://schemas.microsoft.com/office/spreadsheetml/2010/11/ac" url="C:\Users\Anyela\OneDrive\Documentos\AND\CONTROL INTERNO\INFORMES PORMENORIZADOS\"/>
    </mc:Choice>
  </mc:AlternateContent>
  <xr:revisionPtr revIDLastSave="0" documentId="8_{F79A9D7A-990B-4C4B-8551-CE86F8172894}" xr6:coauthVersionLast="47" xr6:coauthVersionMax="47" xr10:uidLastSave="{00000000-0000-0000-0000-000000000000}"/>
  <bookViews>
    <workbookView xWindow="-108" yWindow="-108" windowWidth="23256" windowHeight="12576" firstSheet="3" activeTab="3" xr2:uid="{00000000-000D-0000-FFFF-FFFF00000000}"/>
  </bookViews>
  <sheets>
    <sheet name="Instructivo" sheetId="2" state="hidden" r:id="rId1"/>
    <sheet name="Estado SCI" sheetId="1" state="hidden" r:id="rId2"/>
    <sheet name="Análisis Resultados" sheetId="3" state="hidden" r:id="rId3"/>
    <sheet name="Conclusión" sheetId="5" r:id="rId4"/>
    <sheet name="Hoja1" sheetId="6" state="hidden" r:id="rId5"/>
  </sheets>
  <externalReferences>
    <externalReference r:id="rId6"/>
  </externalReferences>
  <definedNames>
    <definedName name="_xlnm._FilterDatabase" localSheetId="4" hidden="1">Hoja1!$A$1:$K$45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9" i="1" l="1"/>
  <c r="J58" i="1"/>
  <c r="J57" i="1"/>
  <c r="J56" i="1"/>
  <c r="J55" i="1"/>
  <c r="J54" i="1"/>
  <c r="J53" i="1"/>
  <c r="J52" i="1"/>
  <c r="J51" i="1"/>
  <c r="J5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A59" i="1" l="1"/>
  <c r="A58" i="1"/>
  <c r="A57" i="1"/>
  <c r="A56" i="1"/>
  <c r="A55" i="1"/>
  <c r="A54" i="1"/>
  <c r="A53" i="1"/>
  <c r="A52" i="1"/>
  <c r="A51" i="1"/>
  <c r="A50" i="1"/>
  <c r="A49" i="1"/>
  <c r="A48" i="1"/>
  <c r="A47" i="1"/>
  <c r="A46" i="1"/>
  <c r="A45" i="1"/>
  <c r="A44" i="1"/>
  <c r="A43" i="1"/>
  <c r="A42" i="1"/>
  <c r="A41" i="1"/>
  <c r="A40" i="1"/>
  <c r="A39" i="1"/>
  <c r="J37" i="1"/>
  <c r="L37" i="1" s="1"/>
  <c r="J36" i="1"/>
  <c r="L36" i="1" s="1"/>
  <c r="J35" i="1"/>
  <c r="L35" i="1" s="1"/>
  <c r="J34" i="1"/>
  <c r="L34" i="1" s="1"/>
  <c r="J33" i="1"/>
  <c r="L33" i="1" s="1"/>
  <c r="J32" i="1"/>
  <c r="L32" i="1" s="1"/>
  <c r="A38" i="1"/>
  <c r="A37" i="1"/>
  <c r="A36" i="1"/>
  <c r="A35" i="1"/>
  <c r="A34" i="1"/>
  <c r="A33" i="1"/>
  <c r="A32" i="1"/>
  <c r="L59" i="1"/>
  <c r="L58" i="1"/>
  <c r="L57" i="1"/>
  <c r="L56" i="1"/>
  <c r="L55" i="1"/>
  <c r="L54" i="1"/>
  <c r="L53" i="1"/>
  <c r="L52" i="1"/>
  <c r="L51" i="1"/>
  <c r="L50" i="1"/>
  <c r="J49" i="1"/>
  <c r="L49" i="1" s="1"/>
  <c r="J48" i="1"/>
  <c r="L48" i="1" s="1"/>
  <c r="J47" i="1"/>
  <c r="L47" i="1" s="1"/>
  <c r="J46" i="1"/>
  <c r="L46" i="1" s="1"/>
  <c r="J45" i="1"/>
  <c r="L45" i="1" s="1"/>
  <c r="J44" i="1"/>
  <c r="L44" i="1" s="1"/>
  <c r="J43" i="1"/>
  <c r="L43" i="1" s="1"/>
  <c r="J42" i="1"/>
  <c r="L42" i="1" s="1"/>
  <c r="J41" i="1"/>
  <c r="L41" i="1" s="1"/>
  <c r="J40" i="1"/>
  <c r="L40" i="1" s="1"/>
  <c r="J39" i="1"/>
  <c r="L39" i="1" s="1"/>
  <c r="J38" i="1"/>
  <c r="L38" i="1" s="1"/>
  <c r="J31" i="1"/>
  <c r="L31" i="1" s="1"/>
  <c r="J30" i="1"/>
  <c r="L30" i="1" s="1"/>
  <c r="J29" i="1"/>
  <c r="L29" i="1" s="1"/>
  <c r="J28" i="1"/>
  <c r="L28" i="1" s="1"/>
  <c r="J27" i="1"/>
  <c r="L27" i="1" s="1"/>
  <c r="J26" i="1"/>
  <c r="L26" i="1" s="1"/>
  <c r="J25" i="1"/>
  <c r="L25" i="1" s="1"/>
  <c r="J24" i="1"/>
  <c r="L24" i="1" s="1"/>
  <c r="J23" i="1"/>
  <c r="L23" i="1" s="1"/>
  <c r="J22" i="1"/>
  <c r="L22" i="1" s="1"/>
  <c r="J21" i="1"/>
  <c r="L21" i="1" s="1"/>
  <c r="J20" i="1"/>
  <c r="L20" i="1" s="1"/>
  <c r="J19" i="1"/>
  <c r="L19" i="1" s="1"/>
  <c r="J18" i="1"/>
  <c r="L18" i="1" s="1"/>
  <c r="J17" i="1"/>
  <c r="L17" i="1" s="1"/>
  <c r="J16" i="1"/>
  <c r="L16" i="1" s="1"/>
  <c r="A31" i="1" l="1"/>
  <c r="A30" i="1"/>
  <c r="A29" i="1"/>
  <c r="A28" i="1"/>
  <c r="A27" i="1"/>
  <c r="A26" i="1"/>
  <c r="A25" i="1"/>
  <c r="A24" i="1"/>
  <c r="A23" i="1"/>
  <c r="A22" i="1"/>
  <c r="A21" i="1"/>
  <c r="A20" i="1"/>
  <c r="A19" i="1"/>
  <c r="A18" i="1"/>
  <c r="A17" i="1"/>
  <c r="A16" i="1"/>
  <c r="I3" i="6" l="1"/>
  <c r="J3" i="6" s="1"/>
  <c r="I11" i="6"/>
  <c r="J11" i="6" s="1"/>
  <c r="I19" i="6"/>
  <c r="J19" i="6" s="1"/>
  <c r="I25" i="6"/>
  <c r="J25" i="6" s="1"/>
  <c r="I33" i="6"/>
  <c r="J33" i="6" s="1"/>
  <c r="I41" i="6"/>
  <c r="J41" i="6" s="1"/>
  <c r="B29" i="6"/>
  <c r="I4" i="6"/>
  <c r="J4" i="6" s="1"/>
  <c r="I12" i="6"/>
  <c r="J12" i="6" s="1"/>
  <c r="I20" i="6"/>
  <c r="J20" i="6" s="1"/>
  <c r="I26" i="6"/>
  <c r="J26" i="6" s="1"/>
  <c r="I34" i="6"/>
  <c r="J34" i="6" s="1"/>
  <c r="I42" i="6"/>
  <c r="J42" i="6" s="1"/>
  <c r="B36" i="6"/>
  <c r="I5" i="6"/>
  <c r="J5" i="6" s="1"/>
  <c r="I13" i="6"/>
  <c r="J13" i="6" s="1"/>
  <c r="I27" i="6"/>
  <c r="J27" i="6" s="1"/>
  <c r="I35" i="6"/>
  <c r="J35" i="6" s="1"/>
  <c r="I43" i="6"/>
  <c r="J43" i="6" s="1"/>
  <c r="B2" i="6"/>
  <c r="I6" i="6"/>
  <c r="J6" i="6" s="1"/>
  <c r="I14" i="6"/>
  <c r="J14" i="6" s="1"/>
  <c r="I21" i="6"/>
  <c r="J21" i="6" s="1"/>
  <c r="I28" i="6"/>
  <c r="J28" i="6" s="1"/>
  <c r="I36" i="6"/>
  <c r="J36" i="6" s="1"/>
  <c r="I44" i="6"/>
  <c r="J44" i="6" s="1"/>
  <c r="I7" i="6"/>
  <c r="J7" i="6" s="1"/>
  <c r="I15" i="6"/>
  <c r="J15" i="6" s="1"/>
  <c r="I22" i="6"/>
  <c r="J22" i="6" s="1"/>
  <c r="I29" i="6"/>
  <c r="J29" i="6" s="1"/>
  <c r="I37" i="6"/>
  <c r="J37" i="6" s="1"/>
  <c r="I45" i="6"/>
  <c r="J45" i="6" s="1"/>
  <c r="I8" i="6"/>
  <c r="J8" i="6" s="1"/>
  <c r="I16" i="6"/>
  <c r="J16" i="6" s="1"/>
  <c r="I23" i="6"/>
  <c r="J23" i="6" s="1"/>
  <c r="I30" i="6"/>
  <c r="J30" i="6" s="1"/>
  <c r="I38" i="6"/>
  <c r="J38" i="6" s="1"/>
  <c r="I2" i="6"/>
  <c r="J2" i="6" s="1"/>
  <c r="I9" i="6"/>
  <c r="J9" i="6" s="1"/>
  <c r="I17" i="6"/>
  <c r="J17" i="6" s="1"/>
  <c r="I31" i="6"/>
  <c r="J31" i="6" s="1"/>
  <c r="I39" i="6"/>
  <c r="J39" i="6" s="1"/>
  <c r="B14" i="6"/>
  <c r="I10" i="6"/>
  <c r="J10" i="6" s="1"/>
  <c r="I18" i="6"/>
  <c r="J18" i="6" s="1"/>
  <c r="I24" i="6"/>
  <c r="J24" i="6" s="1"/>
  <c r="I32" i="6"/>
  <c r="J32" i="6" s="1"/>
  <c r="I40" i="6"/>
  <c r="J40" i="6" s="1"/>
  <c r="B24" i="6"/>
  <c r="G41" i="6"/>
  <c r="G40" i="6"/>
  <c r="G32" i="6"/>
  <c r="G24" i="6"/>
  <c r="G18" i="6"/>
  <c r="G10" i="6"/>
  <c r="G2" i="6"/>
  <c r="F10" i="6"/>
  <c r="F18" i="6"/>
  <c r="F24" i="6"/>
  <c r="F32" i="6"/>
  <c r="F40" i="6"/>
  <c r="G29" i="6"/>
  <c r="G7" i="6"/>
  <c r="F27" i="6"/>
  <c r="G28" i="6"/>
  <c r="G14" i="6"/>
  <c r="F14" i="6"/>
  <c r="F36" i="6"/>
  <c r="G27" i="6"/>
  <c r="G5" i="6"/>
  <c r="F22" i="6"/>
  <c r="F45" i="6"/>
  <c r="G34" i="6"/>
  <c r="G20" i="6"/>
  <c r="F8" i="6"/>
  <c r="F30" i="6"/>
  <c r="G33" i="6"/>
  <c r="G11" i="6"/>
  <c r="F17" i="6"/>
  <c r="G39" i="6"/>
  <c r="G31" i="6"/>
  <c r="G17" i="6"/>
  <c r="G9" i="6"/>
  <c r="F3" i="6"/>
  <c r="F11" i="6"/>
  <c r="F19" i="6"/>
  <c r="F25" i="6"/>
  <c r="F33" i="6"/>
  <c r="F41" i="6"/>
  <c r="G37" i="6"/>
  <c r="G15" i="6"/>
  <c r="F5" i="6"/>
  <c r="F43" i="6"/>
  <c r="G44" i="6"/>
  <c r="G21" i="6"/>
  <c r="F6" i="6"/>
  <c r="F28" i="6"/>
  <c r="G35" i="6"/>
  <c r="G13" i="6"/>
  <c r="F7" i="6"/>
  <c r="F29" i="6"/>
  <c r="G26" i="6"/>
  <c r="G4" i="6"/>
  <c r="F23" i="6"/>
  <c r="F2" i="6"/>
  <c r="G19" i="6"/>
  <c r="F9" i="6"/>
  <c r="F39" i="6"/>
  <c r="G38" i="6"/>
  <c r="G30" i="6"/>
  <c r="G23" i="6"/>
  <c r="G16" i="6"/>
  <c r="G8" i="6"/>
  <c r="F4" i="6"/>
  <c r="F12" i="6"/>
  <c r="F20" i="6"/>
  <c r="F26" i="6"/>
  <c r="F34" i="6"/>
  <c r="F42" i="6"/>
  <c r="G45" i="6"/>
  <c r="G22" i="6"/>
  <c r="F13" i="6"/>
  <c r="F35" i="6"/>
  <c r="G36" i="6"/>
  <c r="G6" i="6"/>
  <c r="F21" i="6"/>
  <c r="F44" i="6"/>
  <c r="G43" i="6"/>
  <c r="F15" i="6"/>
  <c r="F37" i="6"/>
  <c r="G42" i="6"/>
  <c r="G12" i="6"/>
  <c r="F16" i="6"/>
  <c r="F38" i="6"/>
  <c r="G25" i="6"/>
  <c r="G3" i="6"/>
  <c r="F31" i="6"/>
  <c r="K24" i="6" l="1"/>
  <c r="G30" i="5" s="1"/>
  <c r="K29" i="6"/>
  <c r="K36" i="6"/>
  <c r="K14" i="6"/>
  <c r="K9" i="6"/>
  <c r="K6" i="6"/>
  <c r="K35" i="6"/>
  <c r="K19" i="6"/>
  <c r="K23" i="6"/>
  <c r="K40" i="6"/>
  <c r="K10" i="6"/>
  <c r="K7" i="6"/>
  <c r="K44" i="6"/>
  <c r="K20" i="6"/>
  <c r="K38" i="6"/>
  <c r="K3" i="6"/>
  <c r="K8" i="6"/>
  <c r="K30" i="6"/>
  <c r="K37" i="6"/>
  <c r="K25" i="6"/>
  <c r="K45" i="6"/>
  <c r="K11" i="6"/>
  <c r="K4" i="6"/>
  <c r="K12" i="6"/>
  <c r="K32" i="6"/>
  <c r="K41" i="6"/>
  <c r="K17" i="6"/>
  <c r="K15" i="6"/>
  <c r="K28" i="6"/>
  <c r="K39" i="6"/>
  <c r="K27" i="6"/>
  <c r="K5" i="6"/>
  <c r="K33" i="6"/>
  <c r="K42" i="6"/>
  <c r="K22" i="6"/>
  <c r="K2" i="6"/>
  <c r="K31" i="6"/>
  <c r="K13" i="6"/>
  <c r="K34" i="6"/>
  <c r="K43" i="6"/>
  <c r="K18" i="6"/>
  <c r="K16" i="6"/>
  <c r="K26" i="6"/>
  <c r="K21" i="6"/>
  <c r="H37" i="6"/>
  <c r="H17" i="6"/>
  <c r="H30" i="6"/>
  <c r="H2" i="6"/>
  <c r="H10" i="6"/>
  <c r="H44" i="6"/>
  <c r="H6" i="6"/>
  <c r="H7" i="6"/>
  <c r="H42" i="6"/>
  <c r="H36" i="6"/>
  <c r="H11" i="6"/>
  <c r="H5" i="6"/>
  <c r="H29" i="6"/>
  <c r="H18" i="6"/>
  <c r="H12" i="6"/>
  <c r="H38" i="6"/>
  <c r="H13" i="6"/>
  <c r="H33" i="6"/>
  <c r="H27" i="6"/>
  <c r="H24" i="6"/>
  <c r="H3" i="6"/>
  <c r="H8" i="6"/>
  <c r="H26" i="6"/>
  <c r="H39" i="6"/>
  <c r="H19" i="6"/>
  <c r="H35" i="6"/>
  <c r="H15" i="6"/>
  <c r="H9" i="6"/>
  <c r="H32" i="6"/>
  <c r="H40" i="6"/>
  <c r="H22" i="6"/>
  <c r="H25" i="6"/>
  <c r="H45" i="6"/>
  <c r="H20" i="6"/>
  <c r="H14" i="6"/>
  <c r="H43" i="6"/>
  <c r="H16" i="6"/>
  <c r="H23" i="6"/>
  <c r="H4" i="6"/>
  <c r="H21" i="6"/>
  <c r="H31" i="6"/>
  <c r="H34" i="6"/>
  <c r="H28" i="6"/>
  <c r="H41" i="6"/>
  <c r="E30" i="5" l="1"/>
  <c r="E26" i="5"/>
  <c r="G26" i="5"/>
  <c r="E28" i="5"/>
  <c r="G28" i="5"/>
  <c r="G34" i="5"/>
  <c r="E34" i="5"/>
  <c r="E32" i="5"/>
  <c r="G32" i="5"/>
  <c r="F56" i="3"/>
  <c r="F48" i="3"/>
  <c r="F40" i="3"/>
  <c r="F32" i="3"/>
  <c r="F24" i="3"/>
  <c r="F55" i="3"/>
  <c r="F47" i="3"/>
  <c r="F39" i="3"/>
  <c r="F31" i="3"/>
  <c r="F23" i="3"/>
  <c r="F34" i="3"/>
  <c r="F62" i="3"/>
  <c r="F54" i="3"/>
  <c r="F46" i="3"/>
  <c r="F38" i="3"/>
  <c r="F30" i="3"/>
  <c r="F22" i="3"/>
  <c r="F53" i="3"/>
  <c r="F45" i="3"/>
  <c r="F37" i="3"/>
  <c r="F29" i="3"/>
  <c r="F57" i="3"/>
  <c r="F33" i="3"/>
  <c r="F61" i="3"/>
  <c r="F21" i="3"/>
  <c r="F58" i="3"/>
  <c r="F50" i="3"/>
  <c r="F26" i="3"/>
  <c r="F60" i="3"/>
  <c r="F52" i="3"/>
  <c r="F44" i="3"/>
  <c r="F36" i="3"/>
  <c r="F28" i="3"/>
  <c r="F20" i="3"/>
  <c r="F25" i="3"/>
  <c r="F59" i="3"/>
  <c r="F51" i="3"/>
  <c r="F43" i="3"/>
  <c r="F35" i="3"/>
  <c r="F27" i="3"/>
  <c r="F19" i="3"/>
  <c r="F42" i="3"/>
  <c r="F49" i="3"/>
  <c r="F41" i="3"/>
  <c r="E56" i="3"/>
  <c r="E40" i="3"/>
  <c r="E55" i="3"/>
  <c r="E47" i="3"/>
  <c r="E39" i="3"/>
  <c r="E31" i="3"/>
  <c r="E23" i="3"/>
  <c r="E51" i="3"/>
  <c r="E27" i="3"/>
  <c r="E58" i="3"/>
  <c r="E26" i="3"/>
  <c r="E57" i="3"/>
  <c r="E25" i="3"/>
  <c r="E24" i="3"/>
  <c r="E62" i="3"/>
  <c r="E54" i="3"/>
  <c r="E46" i="3"/>
  <c r="E38" i="3"/>
  <c r="E30" i="3"/>
  <c r="E22" i="3"/>
  <c r="E60" i="3"/>
  <c r="E20" i="3"/>
  <c r="E43" i="3"/>
  <c r="E50" i="3"/>
  <c r="E34" i="3"/>
  <c r="E49" i="3"/>
  <c r="E48" i="3"/>
  <c r="E61" i="3"/>
  <c r="E53" i="3"/>
  <c r="E45" i="3"/>
  <c r="E37" i="3"/>
  <c r="E29" i="3"/>
  <c r="E21" i="3"/>
  <c r="E52" i="3"/>
  <c r="E44" i="3"/>
  <c r="E36" i="3"/>
  <c r="E28" i="3"/>
  <c r="E59" i="3"/>
  <c r="E35" i="3"/>
  <c r="E19" i="3"/>
  <c r="E42" i="3"/>
  <c r="E41" i="3"/>
  <c r="E33" i="3"/>
  <c r="E32" i="3"/>
  <c r="I61" i="3" l="1"/>
  <c r="G61" i="3"/>
  <c r="I59" i="3"/>
  <c r="G59" i="3"/>
  <c r="I45" i="3"/>
  <c r="G45" i="3"/>
  <c r="G20" i="3"/>
  <c r="I20" i="3"/>
  <c r="G24" i="3"/>
  <c r="I24" i="3"/>
  <c r="I31" i="3"/>
  <c r="G31" i="3"/>
  <c r="I32" i="3"/>
  <c r="G32" i="3"/>
  <c r="G28" i="3"/>
  <c r="I28" i="3"/>
  <c r="I53" i="3"/>
  <c r="G53" i="3"/>
  <c r="I60" i="3"/>
  <c r="G60" i="3"/>
  <c r="G25" i="3"/>
  <c r="I25" i="3"/>
  <c r="I39" i="3"/>
  <c r="G39" i="3"/>
  <c r="G22" i="3"/>
  <c r="I22" i="3"/>
  <c r="I57" i="3"/>
  <c r="G57" i="3"/>
  <c r="I47" i="3"/>
  <c r="G47" i="3"/>
  <c r="I33" i="3"/>
  <c r="G33" i="3"/>
  <c r="I44" i="3"/>
  <c r="G44" i="3"/>
  <c r="I48" i="3"/>
  <c r="G48" i="3"/>
  <c r="I30" i="3"/>
  <c r="G30" i="3"/>
  <c r="G26" i="3"/>
  <c r="I26" i="3"/>
  <c r="I55" i="3"/>
  <c r="G55" i="3"/>
  <c r="I41" i="3"/>
  <c r="G41" i="3"/>
  <c r="I52" i="3"/>
  <c r="G52" i="3"/>
  <c r="I49" i="3"/>
  <c r="G49" i="3"/>
  <c r="I38" i="3"/>
  <c r="G38" i="3"/>
  <c r="I58" i="3"/>
  <c r="G58" i="3"/>
  <c r="I42" i="3"/>
  <c r="G42" i="3"/>
  <c r="G21" i="3"/>
  <c r="I21" i="3"/>
  <c r="I34" i="3"/>
  <c r="G34" i="3"/>
  <c r="I46" i="3"/>
  <c r="G46" i="3"/>
  <c r="I27" i="3"/>
  <c r="G27" i="3"/>
  <c r="I40" i="3"/>
  <c r="G40" i="3"/>
  <c r="I36" i="3"/>
  <c r="G36" i="3"/>
  <c r="I19" i="3"/>
  <c r="G19" i="3"/>
  <c r="G29" i="3"/>
  <c r="I29" i="3"/>
  <c r="I50" i="3"/>
  <c r="G50" i="3"/>
  <c r="I54" i="3"/>
  <c r="G54" i="3"/>
  <c r="I51" i="3"/>
  <c r="G51" i="3"/>
  <c r="I56" i="3"/>
  <c r="G56" i="3"/>
  <c r="I35" i="3"/>
  <c r="G35" i="3"/>
  <c r="I37" i="3"/>
  <c r="G37" i="3"/>
  <c r="I43" i="3"/>
  <c r="G43" i="3"/>
  <c r="I62" i="3"/>
  <c r="G62" i="3"/>
  <c r="G23" i="3"/>
  <c r="I23" i="3"/>
  <c r="J41" i="3" l="1"/>
  <c r="J53" i="3"/>
  <c r="J46" i="3"/>
  <c r="J31" i="3"/>
  <c r="J19" i="3"/>
  <c r="M8" i="5" l="1"/>
</calcChain>
</file>

<file path=xl/sharedStrings.xml><?xml version="1.0" encoding="utf-8"?>
<sst xmlns="http://schemas.openxmlformats.org/spreadsheetml/2006/main" count="514" uniqueCount="243">
  <si>
    <t>EVALUACIÓN INDEPENDIENTE SISTEMA DE CONTROL INTERNO
Entidades Pequeñas
(instrucciones para su diligenciamiento)</t>
  </si>
  <si>
    <t>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Esta estructura requiere de un análisis articulado frente al desarrollo de las políticas de gestión y desempeño contenidas en el modelo y su efectividad en relación con la estructura de control, este útlimo, aspecto esecial para garantizar el buen manejo de los recursos, que las metas y objetivos se cumplan y se mejore la prestación del servicio a los usuarios, ejes fundamentales para la generación de valor público.
Teniendo en cuenta lo anterior y dada la necesidad de dar cumplimiento a la dispuesto en el articulo 156 del Decreto 2106 de 2019, el presente formatobusca que las entidades cuenten con una herramienta para evaluar sus Sistemas de Control Interno de manera integral y permitirle al Jefe de Control Interno o quien haga sus veces llevar a cabo el informe de evaluación independiente sobre el mismo para su publicación cada seis (6) meses, en el sitio web de la entidad. La estructura propuesta es diferencial para aquellas entidades de municipios de 6a categoría (Personerías y Concejos Municipales) que son entidades con 1 y hasta 5 servidores en sus plantas de personal. Estas entidades deben tener en cuenta que de acuerdo con el parágrafo del artículo ARTÍCULO 2.2.22.2.1. del Decreto 1499 de 2017, las políticas de gestión y desempeño contenidas en el Modelo Integrado de Planeación y Gestión MIPG, deben ser aplicadas acorde con las normas que las regulan, por lo que deben analizar dichas políticas e implementarlas en armonía con el MECI.</t>
  </si>
  <si>
    <t>Orientaciones Generales</t>
  </si>
  <si>
    <r>
      <t xml:space="preserve">El archivo contiene las siguientes hojas:
 -  1 </t>
    </r>
    <r>
      <rPr>
        <b/>
        <sz val="11"/>
        <rFont val="Arial Narrow"/>
        <family val="2"/>
      </rPr>
      <t xml:space="preserve">Pestaña que desarrolla la estructura para evaluar el estado del Sistema de Control Interno: </t>
    </r>
    <r>
      <rPr>
        <sz val="11"/>
        <rFont val="Arial Narrow"/>
        <family val="2"/>
      </rPr>
      <t xml:space="preserve">Se desagrega en </t>
    </r>
    <r>
      <rPr>
        <sz val="10"/>
        <rFont val="Arial Narrow"/>
        <family val="2"/>
      </rPr>
      <t>"Ambiente de Control", "Evaluación de riesgos", "Actividades de control", "Información y Comunicación", y " Actividades de Monitoreo", componentes actuales del Modelo Estándar de Control Interno MECI. La estructura es la siguiente para el diligenciamiento:</t>
    </r>
  </si>
  <si>
    <t>Columna</t>
  </si>
  <si>
    <t>Descripción</t>
  </si>
  <si>
    <t>Componente del MECI asociado</t>
  </si>
  <si>
    <t>Esta columna define los componentes del MECI.</t>
  </si>
  <si>
    <t>Lineamiento General por Componente</t>
  </si>
  <si>
    <t>En esta columna establece el lineamientos general para cada uno de los componentes del MECI</t>
  </si>
  <si>
    <t>Requerimiento Asociado al Componente</t>
  </si>
  <si>
    <t>Se muestran una serie de preguntas con 3 opciones de respuesta así:
1. SI
2.NO
3. EN PROCESO</t>
  </si>
  <si>
    <t>Evidencia de Seguimiento al Control</t>
  </si>
  <si>
    <t>Establezca actividades adelantadas de aplicación del documento o elemento antes identificado (esto cuando se responde SI o bien EN PROCESO)</t>
  </si>
  <si>
    <r>
      <t xml:space="preserve"> -</t>
    </r>
    <r>
      <rPr>
        <sz val="11"/>
        <rFont val="Arial Narrow"/>
        <family val="2"/>
      </rPr>
      <t xml:space="preserve"> </t>
    </r>
    <r>
      <rPr>
        <b/>
        <sz val="11"/>
        <rFont val="Arial Narrow"/>
        <family val="2"/>
      </rPr>
      <t>Análisis de Resultados:</t>
    </r>
    <r>
      <rPr>
        <sz val="10"/>
        <rFont val="Arial Narrow"/>
        <family val="2"/>
      </rPr>
      <t xml:space="preserve"> Esta hoja permite consolidar los resultados para cada componente evaluado.</t>
    </r>
  </si>
  <si>
    <t xml:space="preserve">Clasificación </t>
  </si>
  <si>
    <t>Observaciones del Control</t>
  </si>
  <si>
    <t>Mantenimiento del Control</t>
  </si>
  <si>
    <t>Existe requerimiento pero se requiere actividades  dirigidas a su mantenimiento dentro del marco de las lineas de defensa.</t>
  </si>
  <si>
    <t>Oportunidad de Mejora</t>
  </si>
  <si>
    <t>Se encuentra en proceso, pero requiere continuar con acciones dirigidas a contar con dicho aspecto de control</t>
  </si>
  <si>
    <t xml:space="preserve">Deficiencia del Control 
</t>
  </si>
  <si>
    <t>No se encuentra el aspecto  por lo tanto la entidad debera generar acciones dirigidas a que se cumpla con el requerimiento .</t>
  </si>
  <si>
    <r>
      <t xml:space="preserve"> -</t>
    </r>
    <r>
      <rPr>
        <sz val="11"/>
        <rFont val="Arial Narrow"/>
        <family val="2"/>
      </rPr>
      <t xml:space="preserve"> </t>
    </r>
    <r>
      <rPr>
        <b/>
        <sz val="11"/>
        <rFont val="Arial Narrow"/>
        <family val="2"/>
      </rPr>
      <t>Conclusiones:</t>
    </r>
    <r>
      <rPr>
        <sz val="10"/>
        <rFont val="Arial Narrow"/>
        <family val="2"/>
      </rPr>
      <t xml:space="preserve"> Esta hoja permite establecer el estado del Sistema de Control Interno evaluado, información a partir de la cual se definen las acciones de mejora correspondientes. Esta hoja será el informe para publicación en página web, o bien para ubicar en un lugar visible en la sede de la entidad (esto para aquellas que no cuentan con conectividad o página web en operación).</t>
    </r>
  </si>
  <si>
    <t>MEDICION ESTADO DEL SISTEMA DE CONTROL INTERNO EN LA ENTIDAD</t>
  </si>
  <si>
    <t xml:space="preserve">No. </t>
  </si>
  <si>
    <t>Literal</t>
  </si>
  <si>
    <t>Requerimiento asociado al componente</t>
  </si>
  <si>
    <t>Seguimiento al control (Si, No, En proceso)</t>
  </si>
  <si>
    <t>Evidencia de seguimiento al control
(Establezca actividades adelantadas de aplicación del documento o elemento antes identificado, esto cuando se responde SI o bien EN PROCESO</t>
  </si>
  <si>
    <t>Evaluación</t>
  </si>
  <si>
    <t>1</t>
  </si>
  <si>
    <t>AMBIENTE DE CONTROL</t>
  </si>
  <si>
    <t>El ambiente de control institucional está integrado por todas esas condiciones mínimas que debe garantizar cualquier entidad pública para el ejercicio del control interno. Para el caso de su entidad indique si se cuenta con:</t>
  </si>
  <si>
    <t>a</t>
  </si>
  <si>
    <t>Documento interno o adopción del MECI actualizado</t>
  </si>
  <si>
    <t>Si</t>
  </si>
  <si>
    <t>Se cuenta con la Resolución de Adopción del MECI al interior de la AND desde el 01 de noviembre de 2022</t>
  </si>
  <si>
    <t>b</t>
  </si>
  <si>
    <t>Un documento tal como un código de ética, integridad u otro que formalice los estándares de conducta, los principios institucionales o los valores del servicio público</t>
  </si>
  <si>
    <t>Se cuenta con el códido de integridad de la AND, publicado en la página web y en la intranet el cual es socilizado periodicamente a todo el personal a traves de reuniones virtuales y correo electrónico</t>
  </si>
  <si>
    <t>c</t>
  </si>
  <si>
    <t>Planes, programas y proyectos de acuerdo con las normas que rigen y atendiendo con su propósito fundamental institucional (misión)</t>
  </si>
  <si>
    <t>Se tiene estructurado todo el direccionamiento estratégico en el cual se adopta el SIGAND por medio del cual se establecen los procesos y sus caracterizaciones, la plataforma estratégica es objeto de actualización para el siguiente cuatriaño.</t>
  </si>
  <si>
    <t>d</t>
  </si>
  <si>
    <t>Una estructura organizacional formalizada (organigrama)</t>
  </si>
  <si>
    <t>La AND cuenta con el organigrama correspondiente al cuerpo directivo aprobado por la junta directiva de la agencia, el cual se encuentra publicado en la página web</t>
  </si>
  <si>
    <t>e</t>
  </si>
  <si>
    <t>Un manual de funciones que describa los empleos de la entidad</t>
  </si>
  <si>
    <t>Desde el proceso de Gestión del Talento humano, se cuenta con el manual de funciones correspondiente a cada uno de los cargos de planta existentes en la AND.</t>
  </si>
  <si>
    <t>f</t>
  </si>
  <si>
    <t>La documentación de sus procesos y procedimientos o bien una lista de actividades principales que permitan conocer el estado de su gestión</t>
  </si>
  <si>
    <t>Se cuenta con la carta descriptiva de cada proceso y los planes de acción institucional que permiten evidenciar el estado de la gestión de cada proceso de la AND, así mismo, a traves de los indicadores de cada proceso, se evidencia la gestión de los mismos de lo cual se hace seguimiento de manera trimestral a traves del comite de gestión y desempeño.</t>
  </si>
  <si>
    <t>g</t>
  </si>
  <si>
    <t>Vinculación de los servidores públicos de acuerdo con el marco normativo que les rige (carrera administrativa, libre nombramiento y remoción, entre otros)</t>
  </si>
  <si>
    <t>Para la AND no es aplicable este tipo de vinculación, sin embargo, desde el proceso de Gestión del Talento humano, se cuenta con el procedimiento de selección, vinculación, gestión y desvinculación de personal, así mismo, desde el proceso de Gestión Contractual se cuenta con el procedimiento de contratación de OPS. Dando así cumplimiento al marco normativo para la contratación de personal de planta y contratistas.</t>
  </si>
  <si>
    <t>h</t>
  </si>
  <si>
    <t>Procesos de inducción, capacitación y bienestar social para sus servidores públicos, de manera directa o en asociación con otras entidades municipales</t>
  </si>
  <si>
    <t>Desde el proceso de Gestión de Talento humano, se promueve y gestiona el desarrollo del programa anual de capacitaciones, el cual abarca las diferentes temáticas prioritarias para el desarrollo de las funciones por el personal de planta o contratrista de la AND. Así mismo, al inicio de cada vigencia se lleva a cabo la inducción institucional para todo el personal independientemente del tipo de vinculación.</t>
  </si>
  <si>
    <t>i</t>
  </si>
  <si>
    <t>Evaluación a los servidores públicos de acuerdo con el marco normativo que le rige</t>
  </si>
  <si>
    <t>Se cuenta con el procedimiento de Evaluación de Desempeño y las evaluaciones realizadas al personal vinculado por plata, así mismo se cuenta con los informes de supervisión de actividades para contratistas.</t>
  </si>
  <si>
    <t>j</t>
  </si>
  <si>
    <t>Procesos de desvinculación de servidores de acuerdo con lo previsto en la Constitución Política y las leyes</t>
  </si>
  <si>
    <t>Desde el proceso de Gestión del Talento humano, se cuenta con el procedimiento de selección, vinculación, gestión y desvinculación de personal, así mismo, desde el proceso de Gestión Contractual se cuenta con el procedimiento de contratación de OPS. Desde estos dos frentes se gestiona la desvinculación de las dos modalidades empleadas por la AND (Planta y Contratistas)</t>
  </si>
  <si>
    <t>k</t>
  </si>
  <si>
    <t>Mecanismos de rendición de cuentas a la ciudadanía</t>
  </si>
  <si>
    <t>Desde el proceso de Gestión de Grupos de Interés se cuenta con la caracterización de usuarios y la sensibilización y difusion de participación ciudadana y rendición de cuentas, dicho proceso cuenta con el apoyo de los equipos de trabajo de Planeación y Comunicaciones los cuales ayudan a fortalecer el procedimiento de rendición de cuentas. Desde el proceso de  seguimiento, medición, evaluación y control se realia el seguimiento al cumplimiento de la estrategia de rendición de cuentas.</t>
  </si>
  <si>
    <t>l</t>
  </si>
  <si>
    <t>Presentación oportuna de sus informes de gestión a las autoridades competentes</t>
  </si>
  <si>
    <t>La AND cumple con el reporte de los informes de gestión ante los entes de control corrspondientes así como la publicación en los medios de comunicación de la entidad como lo son la página web y la intranet.</t>
  </si>
  <si>
    <t>2</t>
  </si>
  <si>
    <t>EVALUACION DEL RIESGO</t>
  </si>
  <si>
    <t>Toda entidad debe identificar, evaluar y gestionar eventos potenciales, tanto internos como externos, que puedan afectar el logro de los objetivos institucionales. Para el caso de su entidad indique si se cuenta con:</t>
  </si>
  <si>
    <t>Identificación de cambios en su entorno que pueden generar consecuencias negativas en su gestión</t>
  </si>
  <si>
    <t>Se cuenta con la política de gestión del riesgo y la guía, los cuales indican los lineamientos en materia de riesgos, además de manera semanal se realizan reuniones de comité directivo en el cual se presentan las actividades realizadas en cada uno de los procesos, análisis de nuevos mercados, cambios en políticas y normas aplicables a la Agencia. 
En materia de riesgos, se realiza actualización de manera semestral por parte de la segunda línea de defensa</t>
  </si>
  <si>
    <t>Identificación de aquellos problemas o aspectos que pueden afectar el cumplimiento de los planes de la entidad y en general su gestión institucional (riesgos)</t>
  </si>
  <si>
    <t>Se cuenta con la identificación de riesgos por procesos, de esta manera, se logra la identificación de amenazas que afectan los planes y objetivos de la AND y su gestión por procesos. A traves del plan de capacitaciones, se proyectan las sensibilizaciones correspondientes a líderes de procesos y gerentes de proyectos en materia de riesgos</t>
  </si>
  <si>
    <t>Identificación  de los riesgos relacionados con posibles actos de corrupción en el ejercicio de sus funciones</t>
  </si>
  <si>
    <t>Se cuenta con la matriz de riesgos de corrupción actualizada por procesos. Desde el proceso de seguimiento, medición evaluación y control se realiza el seguimiento correspondiente a cumplimiento de controles y planes de acción.</t>
  </si>
  <si>
    <t>Si su capacidad e infraestructura lo permite, identificación de riesgos asociados a las tecnologías de la información y las comunicaciones</t>
  </si>
  <si>
    <t>Se cuenta con las matrices de riesgosde seguridad digital, las cuales se encuentran por procesos. Se realiza seguimeinto desde el equipo de seguridad y privacidad de la información.</t>
  </si>
  <si>
    <t>3</t>
  </si>
  <si>
    <t>Los líderes de los programas, proyectos, o procesos de la entidad  junto con sus equipos de trabajo:</t>
  </si>
  <si>
    <t>Hacen seguimiento a los problemas (riesgos)  que pueden afectar el cumplimiento de sus procesos, programas o proyectos a cargo</t>
  </si>
  <si>
    <t>El seguimiento a los riesgos es realizado principalmente por los equipos de trabajo de cada proceso, desde el equipo de planeación se lleva a cabo el seguimiento periódico de los mismos y por último desde la tercera línea de defensa se realiza seguimiento semestral a todos los riesgos identificados. Así mismo, en cada proyecto, el gerente de proyecto es el encargado de realizar el seguimiento en conjunto con el cliente de los riesgos identificados en cada proyecto de la Agencia.</t>
  </si>
  <si>
    <t>Informan de manera periódica a quien corresponda sobre el desempeño de las actividades de gestión de riesgos</t>
  </si>
  <si>
    <t>Los resultados de los seguimientos realizados a los riesgos por parte de los equipos de planeación y control interno son presentados ante los comités de Gestión y Desempeño y Control Interno respectivamente.</t>
  </si>
  <si>
    <t>Identifican deficiencias en las maneras de  controlar los riesgos o problemas en sus procesos, programas o proyectos, y propone los ajustes necesarios</t>
  </si>
  <si>
    <t>Dentro de las actualizaciones de los mapas de riesgos, se llevó a cabo la identificaión de deficiencias en los controles, así mismo, en el seguimeinto realiazado desde la tercera línea de defensa, se evalúo la efectividad de controles y planes de acción definidos.</t>
  </si>
  <si>
    <t>4</t>
  </si>
  <si>
    <t>Para el manejo de los problemas que afectan el cumplimiento de las metas u objetivos institucionales (riesgos), el jefe de control interno o quien haga sus veces, ha podido evidenciar si en la entidad:</t>
  </si>
  <si>
    <t>Se definen espacios de reunión para conocerlos y proponer acciones para su solución</t>
  </si>
  <si>
    <t>Desde el proceso de Direccionamiento Estratégico y los profesionales de planeación, se realiza el seguimiento periodico a través de reuniones con los líderes de los diferentes procesos y aquellos encargados de ejecutar los contrroles. Estas acciones son elevadas ante el comité de gestión y desempeño y el comité directivo.</t>
  </si>
  <si>
    <t>Cada líder del equipo autónomamente toma las acciones para solucionarlos.</t>
  </si>
  <si>
    <t>Desde la política y guía de gestión de riesgos se dictan los lineamientos necesarios para que cada líder de proceso tome las acciones correspondientes o reporte la situación ante el proceso encargado de la gestión de riesgos de la Agencia.</t>
  </si>
  <si>
    <t>Solamente hasta que un organismo de control actúa se definen acciones de mejora.</t>
  </si>
  <si>
    <t>Las acciones de mejora se identifican desde el desarrollo de las actividades diarias y los diferentes seguimientos realizados. Esto en pro de evitar que se identifiquen acciones de mejora en el ejercicio realizado por entes de control externos a la Agencia.</t>
  </si>
  <si>
    <t>5</t>
  </si>
  <si>
    <t>ACTIVIDADES DE CONTROL</t>
  </si>
  <si>
    <t>Una vez identificados los problemas que afectan el cumplimiento de los planes de la entidad o su gestión institucional, la entidad debe diseñar los controles o mecanismos para darles tratamiento. Para el caso de su entidad indique si se cuenta con:</t>
  </si>
  <si>
    <t>La definición de acciones o actividades para para dar tratamiento a los problemas identificados (mitigación de riesgos), incluyendo aquellos asociados a posibles actos de corrupción</t>
  </si>
  <si>
    <t>Desde la política y guía de gestión de riesgos se dictan los lineamientos necesarios para el tratamiento de cada riesgo, así mismo, desde los mapas de riesgo se establecen los planes de acción para mitigar los riesgos incluidos aquellos de corrupción.</t>
  </si>
  <si>
    <t>Mecanismos de verificación de si se están o no mitigando los riesgos, o en su defecto, elaboración de planes de contingencia para subsanar sus consecuencias</t>
  </si>
  <si>
    <t>Los mecanismos para esta identificación son los seguimientos realizados por el equipo de trabajo de planeación y por el equipo de control interno, desde ambos frentes se valida la efectividad de controles y planes de acción definidos para cada riesgo.</t>
  </si>
  <si>
    <t>Planes, acciones o estrategias que permitan subsanar las consecuencias de la materialización de los riesgos, cuando se presentan</t>
  </si>
  <si>
    <t>Si bien dentro de los mapas de riesgos se encuentran identificados riesgos en niveles alto y extremo, no se ha registrado materialización de ningun riesgo. Sin embargo, los planes de acciones definidos, buscan entre otras cosas subsanar las desviaciones presentadas en los procesos o proyectos en relación a los riesgos identificados.</t>
  </si>
  <si>
    <t>Un documento que consolide  los riesgos  y el tratamiento que se les da, incluyendo aquellos que conllevan posibles actos de corrupción y si la capacidad e infraestructura lo permite, los asociados con las tecnologías de la información y las comunicaciones</t>
  </si>
  <si>
    <t>Se cuenta con la matriz de riesgos de gestión y seguridad digital, así mismo, una matriz para los riesgos de corrupción. Estas matrices se encuentran por procesos y son de consulta interna por todo el personal.</t>
  </si>
  <si>
    <t>Un plan anticorrupción y de servicio al ciudadano con los temas que le aplican, publicado en algún medio para conocimiento de la ciudadanía</t>
  </si>
  <si>
    <t>Se cuenta con el plan anticorrupción publicado en la intranet y página web de la Agencia por cada una de las vigencias. Se realiza seguimiento de acuerdo a la periodicidad de ejecución de las diferentes actividades definidas.</t>
  </si>
  <si>
    <t>6</t>
  </si>
  <si>
    <t>INFORMACION Y COMUNICACIÓN</t>
  </si>
  <si>
    <t>Las entidades deben procurar, de acuerdo con sus propias capacidades internas, que la información y la comunicación que requiere para su gestión y  control interno fluya de manera clara.  Acorde con lo anterior, indique si se cuenta con:</t>
  </si>
  <si>
    <t>Responsables de la información institucional</t>
  </si>
  <si>
    <t>Desde la política de Comuncaciones, se identifican los responsables de la información institucional</t>
  </si>
  <si>
    <t>Canales de comunicación con los ciudadanos</t>
  </si>
  <si>
    <t>Se cuenta con los canales de comunicación a los ciudadanos, los cuales se evidencia en la página web de la AND y el plan estratégico de gestión de grupos de interés actualizados y socializados a traves de correos electrónicos y redes sociales.</t>
  </si>
  <si>
    <t>Canales de comunicación o mecanismos de reporte de información a otros organismos gubernamentales o de control</t>
  </si>
  <si>
    <t>En la página web se relacionan los organismos de vigilancia y control de la agencia y los medios de comunicación de los mismos. Esta información se encuentra en la sección de transparencia y Acceso a la información.</t>
  </si>
  <si>
    <t xml:space="preserve">Lineamientos para dar tratamiento a la información de carácter reservado </t>
  </si>
  <si>
    <t>Se cuenta con la pólitica de protección de datos personales debidamente publicada en la página web y en la cual se relacionan los lineamientos para el tratamiento de este tipo de información. se realiza socialización de la misma a todo el personal de la AND</t>
  </si>
  <si>
    <t>Identificación de información que produce en el marco de su gestión (Para los ciudadanos, organismos de control, organismos gubernamentales, entre otros)</t>
  </si>
  <si>
    <t xml:space="preserve">A través de los informes de gestión, se evidencia las acciones y actividades desarroladas en el marco de la gestión de la AND, así mismo, a traves de la rendición de cuentas. Esta información es publicada en la página web y la intranet de la Agencia ysocializada a los grupos de interés </t>
  </si>
  <si>
    <t>Identificación de información necesaria para la operación de la entidad (normograma, presupuesto, talento humano, infraestructura física y tecnológica)</t>
  </si>
  <si>
    <t>A través de la página web se encuentra el menú participa en el cual se lleva a cabo todo lo correspondiente a planeación y presupuesto participativo, en tanto a los demás temas se cuenta con el menú de participación ciudadana y acceso a la información. Cada uno de estos items es gestionado por los diferentes procesos a cargo de ellos.</t>
  </si>
  <si>
    <t>Si su capacidad e infraestructura lo permite, tecnologías de la información y las comunicaciones que soporten estos procesos</t>
  </si>
  <si>
    <t>Se cuenta con la página web e intranet para la publicación de la información, así mismo, se hace uso de repositorios internos administrados a través de la herramienta de SharePoint.</t>
  </si>
  <si>
    <t>7</t>
  </si>
  <si>
    <t>ACTIVIDADES DE MONITOREO</t>
  </si>
  <si>
    <t>Las entidades deben valorar: la eficiencia y eficacia de su gestión y la efectividad del control interno de la entidad pública con el propósito de detectar desviaciones y generar recomendaciones para la mejora. Para el caso de su entidad indique si se cuenta con:</t>
  </si>
  <si>
    <t>Mecanismos de evaluación de la gestión (cronogramas, indicadores, listas de chequeo u otros)</t>
  </si>
  <si>
    <t>Se cuenta con los indicadores correspondientes por procesos, así como el plan de acción institucional.</t>
  </si>
  <si>
    <t>Algún mecanismo para monitorear o supervisar el sistema de control interno institucional, ya sea por parte del representante legal, o del área de control interno (si la entidad cuenta con ella), o bien a través del Comité departamental o municipal de Auditoría.</t>
  </si>
  <si>
    <t>Se gestiona a través del comité institucional de coordinación de control interno, por la naturaleza jurídica de la Agencia no se participa en comité departamental o municipal.</t>
  </si>
  <si>
    <t>Medidas correctivas en caso de detectarse deficiencias en los ejercicios de evaluación, seguimiento o auditoría</t>
  </si>
  <si>
    <t>A través del comité institucional de coordinación de control interno, se llava a cabo la socialización de deficiencias y se proponen las medidas correctivas que permitan el fortalecimiento del sistema de Control Interno.</t>
  </si>
  <si>
    <t>Seguimiento a los planes de mejoramiento suscritos con instancias de control internas o externas</t>
  </si>
  <si>
    <t>Se realiza seguimiento periódico a los planes de mejoramiento producto de evaluación de riesgos y auditorías internas y externas y revision por la Dirección. En tanto a los planes de mejoramiento con entes de control, se lleva a cabo el seguimiento y reporte ante el mismo ente dentro de los plazos establecidos.</t>
  </si>
  <si>
    <t>8</t>
  </si>
  <si>
    <t>¿La entidad ha solicitado hacer parte del Comité Municipal de Auditoría, a efectos de contar con un escenario para compartir buenas prácticas en materia de control interno, así como analizar la viabilidad de contar como mínimo con un proceso auditor en la vigencia?</t>
  </si>
  <si>
    <t>La entidad participa en el  Comité Municipal de Auditoría?</t>
  </si>
  <si>
    <t>Por la naturaleza jurídica de la Agenica no se participa en estos comités. Sin embargo, se cuenta con la participación en capacitaciones dadas por el DAFP en esta materia.</t>
  </si>
  <si>
    <t>9</t>
  </si>
  <si>
    <t>El jefe de control interno o quien haga sus veces, ha podido evidenciar si en la entidad el manejo que se ha hecho a los problemas que afectan el cumplimiento de sus metas y objetivos (riesgos) le ha permitido:</t>
  </si>
  <si>
    <t>Evitar que los problemas (riesgos) obstaculicen el cumplimiento de los objetivos.</t>
  </si>
  <si>
    <t>Desde el seguimiento realizado a los riesgos, se proponen las recomendaciones y oportunidades de mejora correspondientes las cuales son presentadas ante el comité de control interno y de gestión y desempeño</t>
  </si>
  <si>
    <t>Controlar los puntos críticos en los procesos.</t>
  </si>
  <si>
    <t>Con la actualización realizada a las matrices de riesgos, se ha fortalecido el seguimiento periódico a aquellos riesgos con mayor calificación residual.Así mismo, dentro de los comités directivos se lleva a cabo el seguimiento y control de la actividad de la Agencia.</t>
  </si>
  <si>
    <t>Diseñar acciones adecuadas para controlar los problemas que afectan el cumplimiento de las metas y objetivos institucionales (riesgos).</t>
  </si>
  <si>
    <t>Desde la Política y Guía de riesgos se dan los lineamientos para controlar dichos problemas. Así mismo, desde los comités directivos se realiza el seguimiento semanal a la gestión de cada proceso.</t>
  </si>
  <si>
    <t>Ejecutar las acciones de acuerdo a como se diseñaron previamente.</t>
  </si>
  <si>
    <t>Se lleva a cabo el seguimiento al plan de acción institucional, al PAAC y a los mapas de riesgos, de esta manera se ha logrado un mayor cumplimiento a las acciones propuestas.</t>
  </si>
  <si>
    <t>No se gestionan los problemas que afectan el cumplimiento de las funciones y objetivos institucionales(riesgos).</t>
  </si>
  <si>
    <t>Se lleva a cabo la gestión de las deficiencias identificadas, desde los comités directios, de gestión y desempeño y de control interno se imparten los lineamientos y posibles soluciones.</t>
  </si>
  <si>
    <t>ANÁLISIS DE RESULTADOS PARA LA TOMA DE DECISIONES</t>
  </si>
  <si>
    <t>Se encuentra en proceso, pero requiere continuar con acciones dirigidas a contar con dicho aspecto de control.</t>
  </si>
  <si>
    <t>Se encuentra presente  y funcionando, pero requiere mejoras frente a su diseño, ya que  opera de manera efectiva</t>
  </si>
  <si>
    <t>No se encuentra el aspecto  por lo tanto la entidad debera generar acciones dirigidas a que se cumpla con el requerimiento.</t>
  </si>
  <si>
    <t>RESULTADOS</t>
  </si>
  <si>
    <t>FUENTE DEL ANALISIS</t>
  </si>
  <si>
    <t xml:space="preserve">Seguimiento al control </t>
  </si>
  <si>
    <t>OBSERVACIONES DEL CONTROL</t>
  </si>
  <si>
    <t>NIVEL DE CUMPLIMIENTO-ASPECTOS PARTICULARES POR COMPONENTE</t>
  </si>
  <si>
    <t>NIVEL DE CUMPLIMIENTO COMPONENTE</t>
  </si>
  <si>
    <t>componente</t>
  </si>
  <si>
    <t>Nombre de la Entidad:</t>
  </si>
  <si>
    <t>Corporación Agencia Nacional de Gobierno Digital</t>
  </si>
  <si>
    <t>Periodo Evaluado:</t>
  </si>
  <si>
    <t>Julio - Diciembre 2022</t>
  </si>
  <si>
    <t>Estado del sistema de Control Interno de la entidad</t>
  </si>
  <si>
    <t>Conclusión general sobre la evaluación del Sistema de Control Interno</t>
  </si>
  <si>
    <t>¿Están todos los componentes operando juntos y de manera integrada? (Si / en proceso / No) (Justifique su respuesta):</t>
  </si>
  <si>
    <t>Se llevó a cabo la formalización de la Resolución del Modelo Estandar de Control Interno al interior de la Agencia. Con base en los lineamientos descritos en dicho documento, se seguira fortaleciendo las labores de evaluación, medición, evaluación y control en los procesos de la entidad.
Se evidencia el compromiso de los diferentes actores en la mejora continua y articulación de lineamientos de los diferentes componentes de control interno.</t>
  </si>
  <si>
    <t>¿Es efectivo el sistema de control interno para los objetivos evaluados? (Si/No) (Justifique su respuesta):</t>
  </si>
  <si>
    <t>Durante el periodo evaluado, se evidenció una mejora significativa en la gestión y aplicación de controles que permiten el cumplimiento de los objetivos institucionales. Se llevan aa cabo diferentes acciones de seguimiento a las desviaciones presentadas, de esta manera se corrige de manera oportuna las posibles amenazas.
Desde los diferentes comités se lleva a cabo seguimiento y medidas preventivas y correctivas de las posibles desviaciones que se puedan presentar en el desarrollo de las actividades de la Agencia.</t>
  </si>
  <si>
    <t>La entidad cuenta dentro de su Sistema de Control Interno, con una institucionalidad (Líneas de defensa)  que le permita la toma de decisiones frente al control (Si/No) (Justifique su respuesta):</t>
  </si>
  <si>
    <t>Las lineas de defensa se han venido fortaleciendo a traves de socializaciones a líderes de procesos, gerentes de proyectos, directivos y cargos o roles encargados de la ejecución de controles.
Desde la política y guía para la gestión de riesgos se dan los lineamientos para la ejecución de las líneas de defensa.</t>
  </si>
  <si>
    <t>Componente</t>
  </si>
  <si>
    <t>¿se esta cumpliendo los requerimientos ?</t>
  </si>
  <si>
    <t>Nivel de Cumplimiento componente</t>
  </si>
  <si>
    <r>
      <rPr>
        <b/>
        <u/>
        <sz val="20"/>
        <color theme="0"/>
        <rFont val="Arial"/>
        <family val="2"/>
      </rPr>
      <t xml:space="preserve"> Estado actual:</t>
    </r>
    <r>
      <rPr>
        <b/>
        <sz val="20"/>
        <color theme="0"/>
        <rFont val="Arial"/>
        <family val="2"/>
      </rPr>
      <t xml:space="preserve"> Explicacion de las Debilidades y/o Fortalezas encontradas en cada componente</t>
    </r>
  </si>
  <si>
    <r>
      <rPr>
        <b/>
        <sz val="12"/>
        <color rgb="FF000000"/>
        <rFont val="Arial"/>
      </rPr>
      <t xml:space="preserve">Debilidades: 
</t>
    </r>
    <r>
      <rPr>
        <sz val="12"/>
        <color rgb="FF000000"/>
        <rFont val="Arial"/>
      </rPr>
      <t xml:space="preserve">- Se cuenta con la Resolución de adopción del MECI, sin embargo, es fundamental la adopción e implementación de estos lineamientos.
</t>
    </r>
    <r>
      <rPr>
        <b/>
        <sz val="12"/>
        <color rgb="FF000000"/>
        <rFont val="Arial"/>
      </rPr>
      <t xml:space="preserve">Fortalezas
</t>
    </r>
    <r>
      <rPr>
        <sz val="12"/>
        <color rgb="FF000000"/>
        <rFont val="Arial"/>
      </rPr>
      <t>- Se realiza sensibilización periódica refente a temas de integridad
- Se da cumplimiento al programa anual de capacitaciones
- Se cuenta con la documentación e información de la gestión adelantada por cada proceso.</t>
    </r>
  </si>
  <si>
    <t>EVALUCION DEL RIESGO</t>
  </si>
  <si>
    <r>
      <rPr>
        <b/>
        <sz val="12"/>
        <color rgb="FF000000"/>
        <rFont val="Arial"/>
      </rPr>
      <t xml:space="preserve">Debilidades: 
</t>
    </r>
    <r>
      <rPr>
        <sz val="12"/>
        <color rgb="FF000000"/>
        <rFont val="Arial"/>
      </rPr>
      <t xml:space="preserve">- Si bien se cuenta con los lineamientos en materia de gestión de riesgos, es importante adoptarlos en la ejecución de proyectos, para ello se procedió con la actualización de la documentación y socialización de la misma a los gerentes de proyectos.
</t>
    </r>
    <r>
      <rPr>
        <b/>
        <sz val="12"/>
        <color rgb="FF000000"/>
        <rFont val="Arial"/>
      </rPr>
      <t xml:space="preserve">Fortalezas
</t>
    </r>
    <r>
      <rPr>
        <sz val="12"/>
        <color rgb="FF000000"/>
        <rFont val="Arial"/>
      </rPr>
      <t>- Documentación actualizada en materia de riesgos
- Se realiza medición periódica y seguimiento a los planes de acción para subsanar causa raíz
- Se fortaleció la identificación, gestión y mitigación de los riesgos identificados por procesos, así como su seguimiento por la segunda y tercera línea de defensa.</t>
    </r>
  </si>
  <si>
    <t>ACTIVIDADES DEL CONTROL</t>
  </si>
  <si>
    <r>
      <rPr>
        <b/>
        <sz val="12"/>
        <color rgb="FF000000"/>
        <rFont val="Arial"/>
      </rPr>
      <t xml:space="preserve">Debilidades: 
</t>
    </r>
    <r>
      <rPr>
        <sz val="12"/>
        <color rgb="FF000000"/>
        <rFont val="Arial"/>
      </rPr>
      <t xml:space="preserve">- Fortalecer la sensibilización en relación al odelo de las tres líneas de defensa, especialmente en aquellas actividades de autocontrol (primera línea de defensa)
</t>
    </r>
    <r>
      <rPr>
        <b/>
        <sz val="12"/>
        <color rgb="FF000000"/>
        <rFont val="Arial"/>
      </rPr>
      <t xml:space="preserve">Fortalezas
</t>
    </r>
    <r>
      <rPr>
        <sz val="12"/>
        <color rgb="FF000000"/>
        <rFont val="Arial"/>
      </rPr>
      <t>- Documentación actualizada y publicada en materia de planes anticorrupción
- Matrices por procesos y consolidada de la gestión de riesgos de seguridad digital, corrupción y gestión
- Seguimiento periódico a los riesgos identificados por procesos</t>
    </r>
  </si>
  <si>
    <r>
      <rPr>
        <b/>
        <sz val="12"/>
        <color rgb="FF000000"/>
        <rFont val="Arial"/>
      </rPr>
      <t xml:space="preserve">Debilidades: 
</t>
    </r>
    <r>
      <rPr>
        <sz val="12"/>
        <color rgb="FF000000"/>
        <rFont val="Arial"/>
      </rPr>
      <t xml:space="preserve">- Fortalecer los mecanismos de counicación interna entre áreas para la gestión de desviaciones en materia de logro de objetivos, esto a través de los diferentes comités institucionales
</t>
    </r>
    <r>
      <rPr>
        <b/>
        <sz val="12"/>
        <color rgb="FF000000"/>
        <rFont val="Arial"/>
      </rPr>
      <t xml:space="preserve">Fortalezas
</t>
    </r>
    <r>
      <rPr>
        <sz val="12"/>
        <color rgb="FF000000"/>
        <rFont val="Arial"/>
      </rPr>
      <t>- Implementación de la estrategia de comunicaciones y plan de comunicaciones
- Implemntación de controles en materia de seguridad de la información, se encuentran definidos los controles en los riesgos de seguridad digital 
- Definición de la caracterización de ususarios y fortalecimiento de participación de grupos de interés y partes interesadas
- Se fortaleció el procedimeinto para la rendición de cuentas 
- Creación de la sede electrónica y evaluación de los lineamientos de cumplimiento de la ley de transparencia</t>
    </r>
  </si>
  <si>
    <t xml:space="preserve">ACTIVIDADES DE MONITOREO </t>
  </si>
  <si>
    <r>
      <rPr>
        <b/>
        <sz val="12"/>
        <color rgb="FF000000"/>
        <rFont val="Arial"/>
      </rPr>
      <t xml:space="preserve">Debilidades: 
</t>
    </r>
    <r>
      <rPr>
        <sz val="12"/>
        <color rgb="FF000000"/>
        <rFont val="Arial"/>
      </rPr>
      <t xml:space="preserve">- Fomentar la participación de los diferentes procesos en las actividades de monitoreo desde la primera linea de defensa.
</t>
    </r>
    <r>
      <rPr>
        <b/>
        <sz val="12"/>
        <color rgb="FF000000"/>
        <rFont val="Arial"/>
      </rPr>
      <t xml:space="preserve">Fortalezas: 
</t>
    </r>
    <r>
      <rPr>
        <sz val="12"/>
        <color rgb="FF000000"/>
        <rFont val="Arial"/>
      </rPr>
      <t xml:space="preserve">- Seguimiento y evaluación de la implementación de los planes de mejoramiento producto de las auditorías internas y externas
- Seguimeinto al trámite de PQRSD y Austeridad del gasto desde el proceso de Seguimeinto, Medición, Evaluación y Control
- Actividades de seguimeinto períodico a la gestión de riesgos
- Se fortaleció el acompañamiento desde la tercera línea de defensa en temas de mejora continua y gestión de riesgos
</t>
    </r>
  </si>
  <si>
    <t xml:space="preserve">Evaluación </t>
  </si>
  <si>
    <t>Puntaje</t>
  </si>
  <si>
    <t xml:space="preserve">Orden </t>
  </si>
  <si>
    <t>Nivel de cumplimiento -Aaspectos particulares por componente</t>
  </si>
  <si>
    <t xml:space="preserve">Promedios </t>
  </si>
  <si>
    <t>1a</t>
  </si>
  <si>
    <t>1b</t>
  </si>
  <si>
    <t>1c</t>
  </si>
  <si>
    <t>1d</t>
  </si>
  <si>
    <t>1e</t>
  </si>
  <si>
    <t>1f</t>
  </si>
  <si>
    <t>1g</t>
  </si>
  <si>
    <t>1h</t>
  </si>
  <si>
    <t>1i</t>
  </si>
  <si>
    <t>1j</t>
  </si>
  <si>
    <t>1k</t>
  </si>
  <si>
    <t>1l</t>
  </si>
  <si>
    <t>2a</t>
  </si>
  <si>
    <t>La identificación de cambios en su entorno que pueden generar consecuencias negativas en su gestión</t>
  </si>
  <si>
    <t>2b</t>
  </si>
  <si>
    <t>La identificación de aquellos problemas o aspectos que pueden afectar el cumplimiento de los planes de la entidad y en general su gestión institucional (riesgos)</t>
  </si>
  <si>
    <t>2c</t>
  </si>
  <si>
    <t>La identificación  de los riesgos relacionados con posibles actos de corrupción en el ejercicio de sus funciones</t>
  </si>
  <si>
    <t>2d</t>
  </si>
  <si>
    <t>3a</t>
  </si>
  <si>
    <t>3b</t>
  </si>
  <si>
    <t>3c</t>
  </si>
  <si>
    <t>4a</t>
  </si>
  <si>
    <t>4b</t>
  </si>
  <si>
    <t>4c</t>
  </si>
  <si>
    <t>5a</t>
  </si>
  <si>
    <t>5b</t>
  </si>
  <si>
    <t>5c</t>
  </si>
  <si>
    <t>5d</t>
  </si>
  <si>
    <t>5e</t>
  </si>
  <si>
    <t>6a</t>
  </si>
  <si>
    <t>6b</t>
  </si>
  <si>
    <t>6c</t>
  </si>
  <si>
    <t>6d</t>
  </si>
  <si>
    <t>6e</t>
  </si>
  <si>
    <t>El jefe de control interno o quien haga sus veces, ha podido evidenciar si en la entidad si el manejo que se ha hecho a los problemas que afectan el cumplimiento de sus metas y objetivos (riesgos) le ha permitido:</t>
  </si>
  <si>
    <t>6f</t>
  </si>
  <si>
    <t>6g</t>
  </si>
  <si>
    <t>7a</t>
  </si>
  <si>
    <t>7d</t>
  </si>
  <si>
    <t>7f</t>
  </si>
  <si>
    <t>7g</t>
  </si>
  <si>
    <t>8h</t>
  </si>
  <si>
    <t>9a</t>
  </si>
  <si>
    <t>9b</t>
  </si>
  <si>
    <t>9c</t>
  </si>
  <si>
    <t>9d</t>
  </si>
  <si>
    <t>9e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</si>
</sst>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2">
    <font>
      <sz val="11"/>
      <color theme="1"/>
      <name val="Calibri"/>
      <family val="2"/>
      <scheme val="minor"/>
    </font>
    <font>
      <sz val="11"/>
      <name val="Arial"/>
      <family val="2"/>
    </font>
    <font>
      <b/>
      <sz val="12"/>
      <name val="Arial"/>
      <family val="2"/>
    </font>
    <font>
      <sz val="11"/>
      <color theme="1"/>
      <name val="Calibri"/>
      <family val="2"/>
      <scheme val="minor"/>
    </font>
    <font>
      <sz val="11"/>
      <color theme="0"/>
      <name val="Calibri"/>
      <family val="2"/>
      <scheme val="minor"/>
    </font>
    <font>
      <b/>
      <sz val="12"/>
      <color theme="0"/>
      <name val="Arial"/>
      <family val="2"/>
    </font>
    <font>
      <b/>
      <sz val="20"/>
      <color theme="0"/>
      <name val="Arial Narrow"/>
      <family val="2"/>
    </font>
    <font>
      <sz val="11"/>
      <color theme="1"/>
      <name val="Arial Narrow"/>
      <family val="2"/>
    </font>
    <font>
      <sz val="11"/>
      <color theme="0"/>
      <name val="Arial Narrow"/>
      <family val="2"/>
    </font>
    <font>
      <b/>
      <sz val="18"/>
      <color theme="0"/>
      <name val="Arial"/>
      <family val="2"/>
    </font>
    <font>
      <sz val="20"/>
      <color rgb="FFFF0000"/>
      <name val="Arial"/>
      <family val="2"/>
    </font>
    <font>
      <b/>
      <sz val="12"/>
      <color rgb="FFFF0000"/>
      <name val="Arial"/>
      <family val="2"/>
    </font>
    <font>
      <b/>
      <sz val="10"/>
      <color rgb="FFFF0000"/>
      <name val="Arial"/>
      <family val="2"/>
    </font>
    <font>
      <b/>
      <sz val="10"/>
      <color theme="1"/>
      <name val="Arial"/>
      <family val="2"/>
    </font>
    <font>
      <b/>
      <sz val="16"/>
      <color theme="1"/>
      <name val="Arial"/>
      <family val="2"/>
    </font>
    <font>
      <b/>
      <i/>
      <sz val="10"/>
      <name val="Arial"/>
      <family val="2"/>
    </font>
    <font>
      <b/>
      <i/>
      <sz val="10"/>
      <color theme="1"/>
      <name val="Arial"/>
      <family val="2"/>
    </font>
    <font>
      <b/>
      <sz val="16"/>
      <color theme="0"/>
      <name val="Arial Narrow"/>
      <family val="2"/>
    </font>
    <font>
      <b/>
      <sz val="12"/>
      <color theme="0"/>
      <name val="Arial Narrow"/>
      <family val="2"/>
    </font>
    <font>
      <b/>
      <sz val="10"/>
      <color theme="0"/>
      <name val="Arial Narrow"/>
      <family val="2"/>
    </font>
    <font>
      <sz val="12"/>
      <color theme="1"/>
      <name val="Arial"/>
      <family val="2"/>
    </font>
    <font>
      <sz val="10"/>
      <color theme="1"/>
      <name val="Calibri"/>
      <family val="2"/>
      <scheme val="minor"/>
    </font>
    <font>
      <sz val="10"/>
      <color theme="0"/>
      <name val="Arial Narrow"/>
      <family val="2"/>
    </font>
    <font>
      <sz val="14"/>
      <color theme="0"/>
      <name val="Arial"/>
      <family val="2"/>
    </font>
    <font>
      <sz val="10"/>
      <color theme="1"/>
      <name val="Arial Narrow"/>
      <family val="2"/>
    </font>
    <font>
      <b/>
      <sz val="11"/>
      <name val="Arial Narrow"/>
      <family val="2"/>
    </font>
    <font>
      <sz val="10"/>
      <name val="Arial Narrow"/>
      <family val="2"/>
    </font>
    <font>
      <sz val="16"/>
      <color theme="0"/>
      <name val="Calibri"/>
      <family val="2"/>
      <scheme val="minor"/>
    </font>
    <font>
      <b/>
      <sz val="18"/>
      <name val="Calibri"/>
      <family val="2"/>
      <scheme val="minor"/>
    </font>
    <font>
      <sz val="10"/>
      <name val="Arial"/>
      <family val="2"/>
    </font>
    <font>
      <b/>
      <sz val="14"/>
      <name val="Arial Narrow"/>
      <family val="2"/>
    </font>
    <font>
      <b/>
      <u/>
      <sz val="11"/>
      <name val="Arial Narrow"/>
      <family val="2"/>
    </font>
    <font>
      <b/>
      <sz val="10"/>
      <name val="Arial Narrow"/>
      <family val="2"/>
    </font>
    <font>
      <sz val="12"/>
      <name val="Times New Roman"/>
      <family val="1"/>
    </font>
    <font>
      <b/>
      <sz val="9"/>
      <name val="Arial Narrow"/>
      <family val="2"/>
    </font>
    <font>
      <sz val="9"/>
      <name val="Arial Narrow"/>
      <family val="2"/>
    </font>
    <font>
      <sz val="11"/>
      <name val="Arial Narrow"/>
      <family val="2"/>
    </font>
    <font>
      <b/>
      <sz val="10"/>
      <color theme="1"/>
      <name val="Arial Narrow"/>
      <family val="2"/>
    </font>
    <font>
      <sz val="15"/>
      <name val="Arial Narrow"/>
      <family val="2"/>
    </font>
    <font>
      <sz val="15"/>
      <color theme="1"/>
      <name val="Arial Narrow"/>
      <family val="2"/>
    </font>
    <font>
      <sz val="8"/>
      <name val="Calibri"/>
      <family val="2"/>
      <scheme val="minor"/>
    </font>
    <font>
      <b/>
      <sz val="18"/>
      <color theme="1"/>
      <name val="Calibri"/>
      <family val="2"/>
      <scheme val="minor"/>
    </font>
    <font>
      <b/>
      <sz val="20"/>
      <name val="Arial"/>
      <family val="2"/>
    </font>
    <font>
      <sz val="18"/>
      <name val="Arial Narrow"/>
      <family val="2"/>
    </font>
    <font>
      <sz val="12"/>
      <color theme="0"/>
      <name val="Arial Narrow"/>
      <family val="2"/>
    </font>
    <font>
      <b/>
      <sz val="14"/>
      <color theme="0"/>
      <name val="Arial Narrow"/>
      <family val="2"/>
    </font>
    <font>
      <sz val="12"/>
      <name val="Arial Narrow"/>
      <family val="2"/>
    </font>
    <font>
      <sz val="12"/>
      <color theme="1"/>
      <name val="Arial Narrow"/>
      <family val="2"/>
    </font>
    <font>
      <sz val="14"/>
      <color theme="1"/>
      <name val="Calibri"/>
      <family val="2"/>
      <scheme val="minor"/>
    </font>
    <font>
      <b/>
      <sz val="14"/>
      <name val="Arial"/>
      <family val="2"/>
    </font>
    <font>
      <sz val="18"/>
      <color theme="1"/>
      <name val="Arial"/>
      <family val="2"/>
    </font>
    <font>
      <b/>
      <sz val="24"/>
      <color theme="0"/>
      <name val="Arial Narrow"/>
      <family val="2"/>
    </font>
    <font>
      <b/>
      <sz val="20"/>
      <color theme="0"/>
      <name val="Arial"/>
      <family val="2"/>
    </font>
    <font>
      <sz val="20"/>
      <color theme="1"/>
      <name val="Calibri"/>
      <family val="2"/>
      <scheme val="minor"/>
    </font>
    <font>
      <b/>
      <u/>
      <sz val="20"/>
      <color theme="0"/>
      <name val="Arial"/>
      <family val="2"/>
    </font>
    <font>
      <sz val="25"/>
      <color theme="1"/>
      <name val="Calibri"/>
      <family val="2"/>
      <scheme val="minor"/>
    </font>
    <font>
      <sz val="25"/>
      <color theme="1"/>
      <name val="Arial Narrow"/>
      <family val="2"/>
    </font>
    <font>
      <sz val="12"/>
      <name val="Arial"/>
      <family val="2"/>
    </font>
    <font>
      <sz val="12"/>
      <color theme="1"/>
      <name val="Calibri"/>
      <family val="2"/>
      <scheme val="minor"/>
    </font>
    <font>
      <sz val="12"/>
      <color rgb="FF000000"/>
      <name val="Arial"/>
    </font>
    <font>
      <b/>
      <sz val="12"/>
      <color rgb="FF000000"/>
      <name val="Arial"/>
    </font>
    <font>
      <sz val="12"/>
      <color rgb="FF000000"/>
      <name val="Arial Narrow"/>
      <family val="2"/>
    </font>
  </fonts>
  <fills count="17">
    <fill>
      <patternFill patternType="none"/>
    </fill>
    <fill>
      <patternFill patternType="gray125"/>
    </fill>
    <fill>
      <patternFill patternType="solid">
        <fgColor theme="3" tint="0.39997558519241921"/>
        <bgColor indexed="64"/>
      </patternFill>
    </fill>
    <fill>
      <patternFill patternType="solid">
        <fgColor theme="3" tint="0.59999389629810485"/>
        <bgColor indexed="64"/>
      </patternFill>
    </fill>
    <fill>
      <patternFill patternType="solid">
        <fgColor theme="0"/>
        <bgColor indexed="64"/>
      </patternFill>
    </fill>
    <fill>
      <patternFill patternType="solid">
        <fgColor theme="4"/>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9" tint="0.39997558519241921"/>
        <bgColor indexed="64"/>
      </patternFill>
    </fill>
  </fills>
  <borders count="94">
    <border>
      <left/>
      <right/>
      <top/>
      <bottom/>
      <diagonal/>
    </border>
    <border>
      <left/>
      <right/>
      <top style="medium">
        <color auto="1"/>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auto="1"/>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bottom/>
      <diagonal/>
    </border>
    <border>
      <left style="hair">
        <color indexed="64"/>
      </left>
      <right style="medium">
        <color indexed="64"/>
      </right>
      <top style="hair">
        <color indexed="64"/>
      </top>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right/>
      <top style="medium">
        <color indexed="64"/>
      </top>
      <bottom style="thin">
        <color indexed="64"/>
      </bottom>
      <diagonal/>
    </border>
    <border>
      <left style="dashed">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right/>
      <top style="dash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thin">
        <color indexed="64"/>
      </top>
      <bottom style="hair">
        <color indexed="64"/>
      </bottom>
      <diagonal/>
    </border>
    <border>
      <left/>
      <right style="hair">
        <color indexed="64"/>
      </right>
      <top style="thin">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5">
    <xf numFmtId="0" fontId="0" fillId="0" borderId="0"/>
    <xf numFmtId="9" fontId="3" fillId="0" borderId="0" applyFont="0" applyFill="0" applyBorder="0" applyAlignment="0" applyProtection="0"/>
    <xf numFmtId="0" fontId="21" fillId="0" borderId="0"/>
    <xf numFmtId="0" fontId="29" fillId="0" borderId="0"/>
    <xf numFmtId="0" fontId="33" fillId="0" borderId="0"/>
  </cellStyleXfs>
  <cellXfs count="316">
    <xf numFmtId="0" fontId="0" fillId="0" borderId="0" xfId="0"/>
    <xf numFmtId="0" fontId="0" fillId="4" borderId="0" xfId="0" applyFill="1"/>
    <xf numFmtId="0" fontId="0" fillId="4" borderId="17" xfId="0" applyFill="1" applyBorder="1"/>
    <xf numFmtId="0" fontId="0" fillId="4" borderId="18" xfId="0" applyFill="1" applyBorder="1"/>
    <xf numFmtId="0" fontId="0" fillId="4" borderId="19" xfId="0" applyFill="1" applyBorder="1"/>
    <xf numFmtId="0" fontId="0" fillId="4" borderId="20" xfId="0" applyFill="1" applyBorder="1"/>
    <xf numFmtId="0" fontId="7" fillId="4" borderId="0" xfId="0" applyFont="1" applyFill="1" applyAlignment="1">
      <alignment horizontal="center"/>
    </xf>
    <xf numFmtId="0" fontId="0" fillId="4" borderId="21" xfId="0" applyFill="1" applyBorder="1"/>
    <xf numFmtId="164" fontId="7" fillId="4" borderId="0" xfId="0" applyNumberFormat="1" applyFont="1" applyFill="1" applyAlignment="1">
      <alignment horizontal="center"/>
    </xf>
    <xf numFmtId="0" fontId="8" fillId="4" borderId="0" xfId="0" applyFont="1" applyFill="1" applyAlignment="1">
      <alignment vertical="center"/>
    </xf>
    <xf numFmtId="0" fontId="10" fillId="4" borderId="0" xfId="0" applyFont="1" applyFill="1" applyAlignment="1">
      <alignment horizontal="center" vertical="center"/>
    </xf>
    <xf numFmtId="0" fontId="11" fillId="4" borderId="0" xfId="0" applyFont="1" applyFill="1"/>
    <xf numFmtId="0" fontId="9" fillId="4" borderId="0" xfId="0" applyFont="1" applyFill="1" applyAlignment="1">
      <alignment horizontal="center" vertical="center"/>
    </xf>
    <xf numFmtId="0" fontId="2" fillId="4" borderId="30" xfId="0" applyFont="1" applyFill="1" applyBorder="1" applyAlignment="1">
      <alignment horizontal="center" vertical="center"/>
    </xf>
    <xf numFmtId="0" fontId="2" fillId="4" borderId="0" xfId="0" applyFont="1" applyFill="1" applyAlignment="1">
      <alignment horizontal="center" vertical="center"/>
    </xf>
    <xf numFmtId="0" fontId="12" fillId="4" borderId="0" xfId="0" applyFont="1" applyFill="1" applyAlignment="1">
      <alignment wrapText="1"/>
    </xf>
    <xf numFmtId="0" fontId="13" fillId="4" borderId="0" xfId="0" applyFont="1" applyFill="1" applyAlignment="1">
      <alignment wrapText="1"/>
    </xf>
    <xf numFmtId="0" fontId="5" fillId="0" borderId="0" xfId="0" applyFont="1" applyAlignment="1">
      <alignment vertical="center"/>
    </xf>
    <xf numFmtId="9" fontId="2" fillId="0" borderId="0" xfId="0" applyNumberFormat="1" applyFont="1" applyAlignment="1">
      <alignment vertical="center"/>
    </xf>
    <xf numFmtId="0" fontId="2" fillId="4" borderId="21" xfId="0" applyFont="1" applyFill="1" applyBorder="1" applyAlignment="1">
      <alignment vertical="center"/>
    </xf>
    <xf numFmtId="0" fontId="2" fillId="4" borderId="0" xfId="0" applyFont="1" applyFill="1" applyAlignment="1">
      <alignment vertical="center"/>
    </xf>
    <xf numFmtId="0" fontId="0" fillId="0" borderId="3" xfId="0" applyBorder="1"/>
    <xf numFmtId="0" fontId="5" fillId="4" borderId="0" xfId="0" applyFont="1" applyFill="1" applyAlignment="1">
      <alignment vertical="center"/>
    </xf>
    <xf numFmtId="0" fontId="2" fillId="4" borderId="0" xfId="0" applyFont="1" applyFill="1" applyAlignment="1">
      <alignment horizontal="left" vertical="center"/>
    </xf>
    <xf numFmtId="0" fontId="15" fillId="4" borderId="0" xfId="0" applyFont="1" applyFill="1" applyAlignment="1">
      <alignment vertical="center"/>
    </xf>
    <xf numFmtId="0" fontId="16" fillId="4" borderId="0" xfId="0" applyFont="1" applyFill="1"/>
    <xf numFmtId="0" fontId="0" fillId="4" borderId="34" xfId="0" applyFill="1" applyBorder="1"/>
    <xf numFmtId="0" fontId="0" fillId="4" borderId="35" xfId="0" applyFill="1" applyBorder="1"/>
    <xf numFmtId="0" fontId="0" fillId="4" borderId="36" xfId="0" applyFill="1" applyBorder="1"/>
    <xf numFmtId="0" fontId="20" fillId="0" borderId="0" xfId="0" applyFont="1" applyAlignment="1">
      <alignment horizontal="center" wrapText="1"/>
    </xf>
    <xf numFmtId="0" fontId="5" fillId="4" borderId="0" xfId="0" applyFont="1" applyFill="1" applyAlignment="1">
      <alignment horizontal="center" vertical="center" wrapText="1"/>
    </xf>
    <xf numFmtId="0" fontId="4" fillId="4" borderId="0" xfId="0" applyFont="1" applyFill="1"/>
    <xf numFmtId="0" fontId="5" fillId="4" borderId="0" xfId="0" applyFont="1" applyFill="1" applyAlignment="1">
      <alignment horizontal="left" vertical="center"/>
    </xf>
    <xf numFmtId="9" fontId="5" fillId="4" borderId="0" xfId="0" applyNumberFormat="1" applyFont="1" applyFill="1" applyAlignment="1">
      <alignment horizontal="center" vertical="center"/>
    </xf>
    <xf numFmtId="0" fontId="4" fillId="4" borderId="0" xfId="0" applyFont="1" applyFill="1" applyAlignment="1">
      <alignment horizontal="left"/>
    </xf>
    <xf numFmtId="0" fontId="22" fillId="0" borderId="0" xfId="2" applyFont="1" applyAlignment="1" applyProtection="1">
      <alignment vertical="center"/>
      <protection locked="0"/>
    </xf>
    <xf numFmtId="49" fontId="24" fillId="4" borderId="0" xfId="2" applyNumberFormat="1" applyFont="1" applyFill="1" applyAlignment="1" applyProtection="1">
      <alignment vertical="center"/>
      <protection locked="0"/>
    </xf>
    <xf numFmtId="0" fontId="24" fillId="4" borderId="0" xfId="2" applyFont="1" applyFill="1" applyAlignment="1" applyProtection="1">
      <alignment vertical="center"/>
      <protection locked="0"/>
    </xf>
    <xf numFmtId="9" fontId="26" fillId="4" borderId="0" xfId="2" applyNumberFormat="1" applyFont="1" applyFill="1" applyAlignment="1" applyProtection="1">
      <alignment vertical="center"/>
      <protection locked="0"/>
    </xf>
    <xf numFmtId="9" fontId="22" fillId="4" borderId="0" xfId="1" applyFont="1" applyFill="1" applyAlignment="1" applyProtection="1">
      <alignment vertical="center"/>
      <protection locked="0"/>
    </xf>
    <xf numFmtId="9" fontId="22" fillId="4" borderId="0" xfId="2" applyNumberFormat="1" applyFont="1" applyFill="1" applyAlignment="1" applyProtection="1">
      <alignment vertical="center"/>
      <protection locked="0"/>
    </xf>
    <xf numFmtId="0" fontId="26" fillId="4" borderId="0" xfId="2" applyFont="1" applyFill="1" applyAlignment="1" applyProtection="1">
      <alignment vertical="center"/>
      <protection locked="0"/>
    </xf>
    <xf numFmtId="0" fontId="26" fillId="0" borderId="0" xfId="3" applyFont="1"/>
    <xf numFmtId="0" fontId="7" fillId="4" borderId="0" xfId="0" applyFont="1" applyFill="1"/>
    <xf numFmtId="0" fontId="7" fillId="0" borderId="0" xfId="0" applyFont="1"/>
    <xf numFmtId="0" fontId="36" fillId="0" borderId="0" xfId="0" applyFont="1" applyAlignment="1">
      <alignment vertical="top"/>
    </xf>
    <xf numFmtId="49" fontId="36" fillId="0" borderId="0" xfId="0" applyNumberFormat="1" applyFont="1" applyAlignment="1">
      <alignment horizontal="center" vertical="top"/>
    </xf>
    <xf numFmtId="0" fontId="22" fillId="4" borderId="0" xfId="2" applyFont="1" applyFill="1" applyAlignment="1" applyProtection="1">
      <alignment vertical="center"/>
      <protection locked="0"/>
    </xf>
    <xf numFmtId="0" fontId="26" fillId="4" borderId="0" xfId="3" applyFont="1" applyFill="1"/>
    <xf numFmtId="0" fontId="26" fillId="4" borderId="59" xfId="3" applyFont="1" applyFill="1" applyBorder="1" applyAlignment="1">
      <alignment vertical="top" wrapText="1"/>
    </xf>
    <xf numFmtId="0" fontId="26" fillId="4" borderId="0" xfId="3" applyFont="1" applyFill="1" applyAlignment="1">
      <alignment vertical="top" wrapText="1"/>
    </xf>
    <xf numFmtId="0" fontId="26" fillId="4" borderId="60" xfId="3" applyFont="1" applyFill="1" applyBorder="1" applyAlignment="1">
      <alignment vertical="top" wrapText="1"/>
    </xf>
    <xf numFmtId="0" fontId="26" fillId="4" borderId="59" xfId="3" applyFont="1" applyFill="1" applyBorder="1" applyAlignment="1">
      <alignment horizontal="left" vertical="top"/>
    </xf>
    <xf numFmtId="0" fontId="26" fillId="4" borderId="60" xfId="3" applyFont="1" applyFill="1" applyBorder="1" applyAlignment="1">
      <alignment horizontal="left" vertical="top"/>
    </xf>
    <xf numFmtId="0" fontId="26" fillId="4" borderId="59" xfId="3" applyFont="1" applyFill="1" applyBorder="1"/>
    <xf numFmtId="0" fontId="34" fillId="4" borderId="0" xfId="4" applyFont="1" applyFill="1" applyAlignment="1">
      <alignment horizontal="left" vertical="top" wrapText="1" readingOrder="1"/>
    </xf>
    <xf numFmtId="0" fontId="26" fillId="4" borderId="60" xfId="3" applyFont="1" applyFill="1" applyBorder="1"/>
    <xf numFmtId="0" fontId="26" fillId="4" borderId="72" xfId="3" applyFont="1" applyFill="1" applyBorder="1"/>
    <xf numFmtId="0" fontId="26" fillId="4" borderId="73" xfId="3" applyFont="1" applyFill="1" applyBorder="1"/>
    <xf numFmtId="0" fontId="26" fillId="4" borderId="74" xfId="3" applyFont="1" applyFill="1" applyBorder="1"/>
    <xf numFmtId="0" fontId="34" fillId="4" borderId="0" xfId="0" applyFont="1" applyFill="1" applyAlignment="1">
      <alignment horizontal="left" vertical="center" wrapText="1"/>
    </xf>
    <xf numFmtId="0" fontId="35" fillId="4" borderId="0" xfId="0" applyFont="1" applyFill="1" applyAlignment="1">
      <alignment horizontal="left" vertical="top" wrapText="1"/>
    </xf>
    <xf numFmtId="0" fontId="26" fillId="4" borderId="0" xfId="3" quotePrefix="1" applyFont="1" applyFill="1" applyAlignment="1">
      <alignment horizontal="left" vertical="center" wrapText="1"/>
    </xf>
    <xf numFmtId="0" fontId="32" fillId="4" borderId="0" xfId="3" applyFont="1" applyFill="1" applyAlignment="1">
      <alignment horizontal="left" vertical="center" wrapText="1"/>
    </xf>
    <xf numFmtId="0" fontId="26" fillId="4" borderId="0" xfId="3" applyFont="1" applyFill="1" applyAlignment="1">
      <alignment horizontal="left" vertical="center" wrapText="1"/>
    </xf>
    <xf numFmtId="0" fontId="7" fillId="4" borderId="0" xfId="0" applyFont="1" applyFill="1" applyAlignment="1">
      <alignment vertical="center"/>
    </xf>
    <xf numFmtId="0" fontId="7" fillId="0" borderId="0" xfId="0" applyFont="1" applyAlignment="1">
      <alignment vertical="center"/>
    </xf>
    <xf numFmtId="0" fontId="8" fillId="4" borderId="0" xfId="0" applyFont="1" applyFill="1"/>
    <xf numFmtId="0" fontId="8" fillId="0" borderId="0" xfId="0" applyFont="1" applyAlignment="1">
      <alignment vertical="top"/>
    </xf>
    <xf numFmtId="0" fontId="8" fillId="0" borderId="0" xfId="0" applyFont="1"/>
    <xf numFmtId="0" fontId="44" fillId="9" borderId="11" xfId="0" applyFont="1" applyFill="1" applyBorder="1" applyAlignment="1">
      <alignment horizontal="center" vertical="top" wrapText="1"/>
    </xf>
    <xf numFmtId="49" fontId="45" fillId="5" borderId="7" xfId="0" applyNumberFormat="1" applyFont="1" applyFill="1" applyBorder="1" applyAlignment="1">
      <alignment horizontal="center" vertical="center" wrapText="1"/>
    </xf>
    <xf numFmtId="0" fontId="45" fillId="5" borderId="7" xfId="0" applyFont="1" applyFill="1" applyBorder="1" applyAlignment="1">
      <alignment horizontal="center" vertical="center" wrapText="1"/>
    </xf>
    <xf numFmtId="0" fontId="45" fillId="5" borderId="10" xfId="0" applyFont="1" applyFill="1" applyBorder="1" applyAlignment="1">
      <alignment horizontal="center" vertical="center" wrapText="1"/>
    </xf>
    <xf numFmtId="0" fontId="45" fillId="5" borderId="5" xfId="0" applyFont="1" applyFill="1" applyBorder="1" applyAlignment="1">
      <alignment horizontal="center" vertical="center" wrapText="1"/>
    </xf>
    <xf numFmtId="0" fontId="46" fillId="0" borderId="2" xfId="0" applyFont="1" applyBorder="1" applyAlignment="1">
      <alignment horizontal="center" vertical="center" wrapText="1"/>
    </xf>
    <xf numFmtId="0" fontId="46" fillId="0" borderId="2" xfId="0" applyFont="1" applyBorder="1" applyAlignment="1">
      <alignment horizontal="left" vertical="center" wrapText="1"/>
    </xf>
    <xf numFmtId="0" fontId="46" fillId="0" borderId="3" xfId="0" applyFont="1" applyBorder="1" applyAlignment="1">
      <alignment horizontal="center" vertical="center" wrapText="1"/>
    </xf>
    <xf numFmtId="0" fontId="47" fillId="0" borderId="3" xfId="0" applyFont="1" applyBorder="1" applyAlignment="1">
      <alignment horizontal="left" vertical="center" wrapText="1"/>
    </xf>
    <xf numFmtId="0" fontId="46" fillId="0" borderId="3" xfId="0" applyFont="1" applyBorder="1" applyAlignment="1">
      <alignment horizontal="left" vertical="center" wrapText="1"/>
    </xf>
    <xf numFmtId="0" fontId="46" fillId="0" borderId="4" xfId="0" applyFont="1" applyBorder="1" applyAlignment="1">
      <alignment horizontal="center" vertical="center" wrapText="1"/>
    </xf>
    <xf numFmtId="0" fontId="46" fillId="0" borderId="4" xfId="0" applyFont="1" applyBorder="1" applyAlignment="1">
      <alignment horizontal="left" vertical="center" wrapText="1"/>
    </xf>
    <xf numFmtId="0" fontId="9" fillId="13" borderId="3" xfId="0" applyFont="1" applyFill="1" applyBorder="1" applyAlignment="1">
      <alignment horizontal="center" vertical="center" wrapText="1"/>
    </xf>
    <xf numFmtId="0" fontId="50" fillId="0" borderId="0" xfId="0" applyFont="1" applyAlignment="1">
      <alignment horizontal="center" wrapText="1"/>
    </xf>
    <xf numFmtId="0" fontId="9" fillId="15"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11" borderId="3"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51" fillId="2" borderId="3" xfId="0" applyFont="1" applyFill="1" applyBorder="1" applyAlignment="1">
      <alignment horizontal="center" vertical="center"/>
    </xf>
    <xf numFmtId="0" fontId="42" fillId="0" borderId="3" xfId="0" applyFont="1" applyBorder="1" applyAlignment="1">
      <alignment horizontal="center" vertical="center"/>
    </xf>
    <xf numFmtId="0" fontId="53" fillId="0" borderId="0" xfId="0" applyFont="1" applyAlignment="1">
      <alignment horizontal="center"/>
    </xf>
    <xf numFmtId="0" fontId="52" fillId="12" borderId="31" xfId="0" applyFont="1" applyFill="1" applyBorder="1" applyAlignment="1">
      <alignment horizontal="center" vertical="center" wrapText="1"/>
    </xf>
    <xf numFmtId="0" fontId="42" fillId="0" borderId="0" xfId="0" applyFont="1" applyAlignment="1">
      <alignment horizontal="center" vertical="center" wrapText="1"/>
    </xf>
    <xf numFmtId="0" fontId="25" fillId="4" borderId="0" xfId="2" applyFont="1" applyFill="1" applyAlignment="1">
      <alignment vertical="center" wrapText="1"/>
    </xf>
    <xf numFmtId="0" fontId="35" fillId="4" borderId="0" xfId="2" applyFont="1" applyFill="1" applyAlignment="1">
      <alignment vertical="center" wrapText="1"/>
    </xf>
    <xf numFmtId="0" fontId="36" fillId="0" borderId="0" xfId="0" applyFont="1" applyAlignment="1" applyProtection="1">
      <alignment horizontal="center" vertical="top"/>
      <protection hidden="1"/>
    </xf>
    <xf numFmtId="0" fontId="38" fillId="0" borderId="79" xfId="0" applyFont="1" applyBorder="1" applyAlignment="1" applyProtection="1">
      <alignment horizontal="center" vertical="center" wrapText="1"/>
      <protection hidden="1"/>
    </xf>
    <xf numFmtId="0" fontId="8" fillId="0" borderId="0" xfId="0" applyFont="1" applyAlignment="1" applyProtection="1">
      <alignment horizontal="center" vertical="top"/>
      <protection hidden="1"/>
    </xf>
    <xf numFmtId="0" fontId="39" fillId="0" borderId="9" xfId="0" applyFont="1" applyBorder="1" applyAlignment="1" applyProtection="1">
      <alignment horizontal="center" vertical="center" wrapText="1"/>
      <protection hidden="1"/>
    </xf>
    <xf numFmtId="49" fontId="8" fillId="0" borderId="0" xfId="0" applyNumberFormat="1" applyFont="1" applyAlignment="1" applyProtection="1">
      <alignment horizontal="center" vertical="top"/>
      <protection hidden="1"/>
    </xf>
    <xf numFmtId="0" fontId="38" fillId="0" borderId="9" xfId="0" applyFont="1" applyBorder="1" applyAlignment="1" applyProtection="1">
      <alignment horizontal="center" vertical="center" wrapText="1"/>
      <protection hidden="1"/>
    </xf>
    <xf numFmtId="0" fontId="38" fillId="0" borderId="80" xfId="0" applyFont="1" applyBorder="1" applyAlignment="1" applyProtection="1">
      <alignment horizontal="center" vertical="center" wrapText="1"/>
      <protection hidden="1"/>
    </xf>
    <xf numFmtId="0" fontId="8" fillId="0" borderId="0" xfId="0" applyFont="1" applyAlignment="1" applyProtection="1">
      <alignment vertical="top"/>
      <protection hidden="1"/>
    </xf>
    <xf numFmtId="0" fontId="43" fillId="0" borderId="2" xfId="0" applyFont="1" applyBorder="1" applyAlignment="1" applyProtection="1">
      <alignment horizontal="center" vertical="center" wrapText="1"/>
      <protection locked="0"/>
    </xf>
    <xf numFmtId="0" fontId="36" fillId="0" borderId="79" xfId="0" applyFont="1" applyBorder="1" applyAlignment="1" applyProtection="1">
      <alignment horizontal="left" vertical="center" wrapText="1"/>
      <protection locked="0"/>
    </xf>
    <xf numFmtId="0" fontId="43" fillId="0" borderId="3" xfId="0" applyFont="1" applyBorder="1" applyAlignment="1" applyProtection="1">
      <alignment horizontal="center" vertical="center" wrapText="1"/>
      <protection locked="0"/>
    </xf>
    <xf numFmtId="0" fontId="7" fillId="0" borderId="9" xfId="0" applyFont="1" applyBorder="1" applyAlignment="1" applyProtection="1">
      <alignment horizontal="left" vertical="center" wrapText="1"/>
      <protection locked="0"/>
    </xf>
    <xf numFmtId="0" fontId="36" fillId="0" borderId="9" xfId="0" applyFont="1" applyBorder="1" applyAlignment="1" applyProtection="1">
      <alignment horizontal="left" vertical="center" wrapText="1"/>
      <protection locked="0"/>
    </xf>
    <xf numFmtId="0" fontId="43" fillId="0" borderId="4" xfId="0" applyFont="1" applyBorder="1" applyAlignment="1" applyProtection="1">
      <alignment horizontal="center" vertical="center" wrapText="1"/>
      <protection locked="0"/>
    </xf>
    <xf numFmtId="0" fontId="36" fillId="0" borderId="80" xfId="0" applyFont="1" applyBorder="1" applyAlignment="1" applyProtection="1">
      <alignment horizontal="left" vertical="center" wrapText="1"/>
      <protection locked="0"/>
    </xf>
    <xf numFmtId="0" fontId="19" fillId="2" borderId="82" xfId="2" applyFont="1" applyFill="1" applyBorder="1" applyAlignment="1">
      <alignment horizontal="center" vertical="center"/>
    </xf>
    <xf numFmtId="0" fontId="19" fillId="2" borderId="82" xfId="2" applyFont="1" applyFill="1" applyBorder="1" applyAlignment="1">
      <alignment horizontal="center" vertical="center" wrapText="1"/>
    </xf>
    <xf numFmtId="0" fontId="1" fillId="0" borderId="2" xfId="0" applyFont="1" applyBorder="1" applyAlignment="1" applyProtection="1">
      <alignment horizontal="left" vertical="center" wrapText="1"/>
      <protection hidden="1"/>
    </xf>
    <xf numFmtId="0" fontId="0" fillId="0" borderId="2" xfId="0" applyBorder="1" applyAlignment="1" applyProtection="1">
      <alignment horizontal="center" vertical="center"/>
      <protection hidden="1"/>
    </xf>
    <xf numFmtId="0" fontId="40" fillId="0" borderId="84" xfId="0" applyFont="1" applyBorder="1" applyAlignment="1" applyProtection="1">
      <alignment vertical="center" wrapText="1"/>
      <protection hidden="1"/>
    </xf>
    <xf numFmtId="0" fontId="1" fillId="0" borderId="3" xfId="0" applyFont="1" applyBorder="1" applyAlignment="1" applyProtection="1">
      <alignment horizontal="left" vertical="center" wrapText="1"/>
      <protection hidden="1"/>
    </xf>
    <xf numFmtId="0" fontId="0" fillId="0" borderId="3" xfId="0" applyBorder="1" applyAlignment="1" applyProtection="1">
      <alignment horizontal="center" vertical="center"/>
      <protection hidden="1"/>
    </xf>
    <xf numFmtId="0" fontId="40" fillId="0" borderId="85" xfId="0" applyFont="1" applyBorder="1" applyAlignment="1" applyProtection="1">
      <alignment vertical="center" wrapText="1"/>
      <protection hidden="1"/>
    </xf>
    <xf numFmtId="0" fontId="1" fillId="0" borderId="4" xfId="0" applyFont="1" applyBorder="1" applyAlignment="1" applyProtection="1">
      <alignment horizontal="left" vertical="center" wrapText="1"/>
      <protection hidden="1"/>
    </xf>
    <xf numFmtId="0" fontId="0" fillId="0" borderId="4" xfId="0" applyBorder="1" applyAlignment="1" applyProtection="1">
      <alignment horizontal="center" vertical="center"/>
      <protection hidden="1"/>
    </xf>
    <xf numFmtId="0" fontId="40" fillId="0" borderId="86" xfId="0" applyFont="1" applyBorder="1" applyAlignment="1" applyProtection="1">
      <alignment vertical="center" wrapText="1"/>
      <protection hidden="1"/>
    </xf>
    <xf numFmtId="0" fontId="1" fillId="0" borderId="7" xfId="0" applyFont="1" applyBorder="1" applyAlignment="1" applyProtection="1">
      <alignment horizontal="left" vertical="center" wrapText="1"/>
      <protection hidden="1"/>
    </xf>
    <xf numFmtId="0" fontId="0" fillId="0" borderId="7" xfId="0" applyBorder="1" applyAlignment="1" applyProtection="1">
      <alignment horizontal="center" vertical="center"/>
      <protection hidden="1"/>
    </xf>
    <xf numFmtId="0" fontId="40" fillId="0" borderId="5" xfId="0" applyFont="1" applyBorder="1" applyAlignment="1" applyProtection="1">
      <alignment vertical="center" wrapText="1"/>
      <protection hidden="1"/>
    </xf>
    <xf numFmtId="0" fontId="1" fillId="0" borderId="6" xfId="0" applyFont="1" applyBorder="1" applyAlignment="1" applyProtection="1">
      <alignment horizontal="left" vertical="center" wrapText="1"/>
      <protection hidden="1"/>
    </xf>
    <xf numFmtId="0" fontId="0" fillId="0" borderId="6" xfId="0" applyBorder="1" applyAlignment="1" applyProtection="1">
      <alignment horizontal="center" vertical="center"/>
      <protection hidden="1"/>
    </xf>
    <xf numFmtId="0" fontId="40" fillId="0" borderId="6" xfId="0" applyFont="1" applyBorder="1" applyAlignment="1" applyProtection="1">
      <alignment vertical="center" wrapText="1"/>
      <protection hidden="1"/>
    </xf>
    <xf numFmtId="0" fontId="40" fillId="0" borderId="3" xfId="0" applyFont="1" applyBorder="1" applyAlignment="1" applyProtection="1">
      <alignment vertical="center" wrapText="1"/>
      <protection hidden="1"/>
    </xf>
    <xf numFmtId="0" fontId="40" fillId="0" borderId="7" xfId="0" applyFont="1" applyBorder="1" applyAlignment="1" applyProtection="1">
      <alignment vertical="center" wrapText="1"/>
      <protection hidden="1"/>
    </xf>
    <xf numFmtId="0" fontId="48" fillId="0" borderId="22" xfId="0" applyFont="1" applyBorder="1" applyAlignment="1" applyProtection="1">
      <alignment horizontal="center" vertical="center"/>
      <protection hidden="1"/>
    </xf>
    <xf numFmtId="9" fontId="0" fillId="0" borderId="90" xfId="0" applyNumberFormat="1" applyBorder="1" applyAlignment="1" applyProtection="1">
      <alignment horizontal="center" vertical="center"/>
      <protection hidden="1"/>
    </xf>
    <xf numFmtId="9" fontId="0" fillId="0" borderId="91" xfId="0" applyNumberFormat="1" applyBorder="1" applyAlignment="1" applyProtection="1">
      <alignment horizontal="center" vertical="center"/>
      <protection hidden="1"/>
    </xf>
    <xf numFmtId="9" fontId="0" fillId="0" borderId="92" xfId="0" applyNumberFormat="1" applyBorder="1" applyAlignment="1" applyProtection="1">
      <alignment horizontal="center" vertical="center"/>
      <protection hidden="1"/>
    </xf>
    <xf numFmtId="9" fontId="0" fillId="0" borderId="93" xfId="0" applyNumberFormat="1" applyBorder="1" applyAlignment="1" applyProtection="1">
      <alignment horizontal="center" vertical="center"/>
      <protection hidden="1"/>
    </xf>
    <xf numFmtId="9" fontId="0" fillId="0" borderId="6" xfId="0" applyNumberFormat="1" applyBorder="1" applyAlignment="1" applyProtection="1">
      <alignment horizontal="center" vertical="center"/>
      <protection hidden="1"/>
    </xf>
    <xf numFmtId="9" fontId="0" fillId="0" borderId="3" xfId="0" applyNumberFormat="1" applyBorder="1" applyAlignment="1" applyProtection="1">
      <alignment horizontal="center" vertical="center"/>
      <protection hidden="1"/>
    </xf>
    <xf numFmtId="9" fontId="0" fillId="0" borderId="7" xfId="0" applyNumberFormat="1" applyBorder="1" applyAlignment="1" applyProtection="1">
      <alignment horizontal="center" vertical="center"/>
      <protection hidden="1"/>
    </xf>
    <xf numFmtId="9" fontId="42" fillId="2" borderId="26" xfId="0" applyNumberFormat="1" applyFont="1" applyFill="1" applyBorder="1" applyAlignment="1" applyProtection="1">
      <alignment horizontal="center" vertical="center"/>
      <protection hidden="1"/>
    </xf>
    <xf numFmtId="0" fontId="42" fillId="0" borderId="3" xfId="0" applyFont="1" applyBorder="1" applyAlignment="1" applyProtection="1">
      <alignment horizontal="center" vertical="center"/>
      <protection hidden="1"/>
    </xf>
    <xf numFmtId="9" fontId="14" fillId="14" borderId="3" xfId="0" applyNumberFormat="1" applyFont="1" applyFill="1" applyBorder="1" applyAlignment="1" applyProtection="1">
      <alignment horizontal="center" vertical="center"/>
      <protection hidden="1"/>
    </xf>
    <xf numFmtId="49" fontId="55" fillId="4" borderId="2" xfId="0" applyNumberFormat="1" applyFont="1" applyFill="1" applyBorder="1" applyAlignment="1" applyProtection="1">
      <alignment horizontal="center" vertical="center" wrapText="1"/>
      <protection locked="0"/>
    </xf>
    <xf numFmtId="49" fontId="55" fillId="4" borderId="3" xfId="0" applyNumberFormat="1" applyFont="1" applyFill="1" applyBorder="1" applyAlignment="1" applyProtection="1">
      <alignment horizontal="center" vertical="center" wrapText="1"/>
      <protection locked="0"/>
    </xf>
    <xf numFmtId="49" fontId="55" fillId="4" borderId="4" xfId="0" applyNumberFormat="1" applyFont="1" applyFill="1" applyBorder="1" applyAlignment="1" applyProtection="1">
      <alignment horizontal="center" vertical="center" wrapText="1"/>
      <protection locked="0"/>
    </xf>
    <xf numFmtId="49" fontId="18" fillId="5" borderId="7" xfId="0" applyNumberFormat="1" applyFont="1" applyFill="1" applyBorder="1" applyAlignment="1" applyProtection="1">
      <alignment horizontal="center" vertical="center" wrapText="1"/>
      <protection hidden="1"/>
    </xf>
    <xf numFmtId="0" fontId="18" fillId="5" borderId="7" xfId="0" applyFont="1" applyFill="1" applyBorder="1" applyAlignment="1" applyProtection="1">
      <alignment horizontal="center" vertical="center" wrapText="1"/>
      <protection hidden="1"/>
    </xf>
    <xf numFmtId="0" fontId="18" fillId="5" borderId="10" xfId="0" applyFont="1" applyFill="1" applyBorder="1" applyAlignment="1" applyProtection="1">
      <alignment horizontal="center" vertical="center" wrapText="1"/>
      <protection hidden="1"/>
    </xf>
    <xf numFmtId="0" fontId="18" fillId="5" borderId="81" xfId="0" applyFont="1" applyFill="1" applyBorder="1" applyAlignment="1" applyProtection="1">
      <alignment horizontal="center" vertical="center" wrapText="1"/>
      <protection hidden="1"/>
    </xf>
    <xf numFmtId="0" fontId="0" fillId="0" borderId="0" xfId="0" applyProtection="1">
      <protection hidden="1"/>
    </xf>
    <xf numFmtId="9" fontId="0" fillId="0" borderId="0" xfId="1" applyFont="1" applyProtection="1">
      <protection hidden="1"/>
    </xf>
    <xf numFmtId="10" fontId="0" fillId="0" borderId="0" xfId="1" applyNumberFormat="1" applyFont="1" applyProtection="1">
      <protection hidden="1"/>
    </xf>
    <xf numFmtId="49" fontId="44" fillId="9" borderId="14" xfId="0" applyNumberFormat="1" applyFont="1" applyFill="1" applyBorder="1" applyAlignment="1">
      <alignment horizontal="center" vertical="center" wrapText="1"/>
    </xf>
    <xf numFmtId="49" fontId="44" fillId="9" borderId="11" xfId="0" applyNumberFormat="1" applyFont="1" applyFill="1" applyBorder="1" applyAlignment="1">
      <alignment horizontal="center" vertical="center" wrapText="1"/>
    </xf>
    <xf numFmtId="0" fontId="61" fillId="0" borderId="3" xfId="0" applyFont="1" applyBorder="1" applyAlignment="1">
      <alignment horizontal="left" vertical="center" wrapText="1"/>
    </xf>
    <xf numFmtId="0" fontId="26" fillId="4" borderId="59" xfId="3" applyFont="1" applyFill="1" applyBorder="1" applyAlignment="1">
      <alignment horizontal="left" vertical="top" wrapText="1"/>
    </xf>
    <xf numFmtId="0" fontId="26" fillId="4" borderId="0" xfId="3" applyFont="1" applyFill="1" applyAlignment="1">
      <alignment horizontal="left" vertical="top" wrapText="1"/>
    </xf>
    <xf numFmtId="0" fontId="26" fillId="4" borderId="60" xfId="3" applyFont="1" applyFill="1" applyBorder="1" applyAlignment="1">
      <alignment horizontal="left" vertical="top" wrapText="1"/>
    </xf>
    <xf numFmtId="0" fontId="34" fillId="4" borderId="77" xfId="0" applyFont="1" applyFill="1" applyBorder="1" applyAlignment="1">
      <alignment horizontal="left" vertical="center" wrapText="1"/>
    </xf>
    <xf numFmtId="0" fontId="34" fillId="4" borderId="78" xfId="0" applyFont="1" applyFill="1" applyBorder="1" applyAlignment="1">
      <alignment horizontal="left" vertical="center" wrapText="1"/>
    </xf>
    <xf numFmtId="0" fontId="35" fillId="0" borderId="69" xfId="3" applyFont="1" applyBorder="1" applyAlignment="1">
      <alignment horizontal="left" vertical="center" wrapText="1"/>
    </xf>
    <xf numFmtId="0" fontId="35" fillId="0" borderId="70" xfId="3" applyFont="1" applyBorder="1" applyAlignment="1">
      <alignment horizontal="left" vertical="center" wrapText="1"/>
    </xf>
    <xf numFmtId="0" fontId="17" fillId="2" borderId="44" xfId="2" applyFont="1" applyFill="1" applyBorder="1" applyAlignment="1">
      <alignment horizontal="center" vertical="center" wrapText="1"/>
    </xf>
    <xf numFmtId="0" fontId="17" fillId="2" borderId="45" xfId="2" applyFont="1" applyFill="1" applyBorder="1" applyAlignment="1">
      <alignment horizontal="center" vertical="center" wrapText="1"/>
    </xf>
    <xf numFmtId="0" fontId="25" fillId="7" borderId="50" xfId="2" applyFont="1" applyFill="1" applyBorder="1" applyAlignment="1">
      <alignment horizontal="center" vertical="center"/>
    </xf>
    <xf numFmtId="0" fontId="25" fillId="7" borderId="51" xfId="2" applyFont="1" applyFill="1" applyBorder="1" applyAlignment="1">
      <alignment horizontal="center" vertical="center"/>
    </xf>
    <xf numFmtId="0" fontId="26" fillId="0" borderId="56" xfId="2" applyFont="1" applyBorder="1" applyAlignment="1">
      <alignment horizontal="justify" vertical="center" wrapText="1"/>
    </xf>
    <xf numFmtId="0" fontId="26" fillId="0" borderId="57" xfId="2" applyFont="1" applyBorder="1" applyAlignment="1">
      <alignment horizontal="justify" vertical="center" wrapText="1"/>
    </xf>
    <xf numFmtId="0" fontId="25" fillId="8" borderId="52" xfId="2" applyFont="1" applyFill="1" applyBorder="1" applyAlignment="1">
      <alignment horizontal="center" vertical="center" wrapText="1"/>
    </xf>
    <xf numFmtId="0" fontId="25" fillId="8" borderId="53" xfId="2" applyFont="1" applyFill="1" applyBorder="1" applyAlignment="1">
      <alignment horizontal="center" vertical="center"/>
    </xf>
    <xf numFmtId="0" fontId="26" fillId="0" borderId="53" xfId="2" applyFont="1" applyBorder="1" applyAlignment="1">
      <alignment horizontal="justify" vertical="center" wrapText="1"/>
    </xf>
    <xf numFmtId="0" fontId="26" fillId="0" borderId="54" xfId="2" applyFont="1" applyBorder="1" applyAlignment="1">
      <alignment horizontal="justify" vertical="center" wrapText="1"/>
    </xf>
    <xf numFmtId="0" fontId="37" fillId="4" borderId="71" xfId="2" applyFont="1" applyFill="1" applyBorder="1" applyAlignment="1">
      <alignment horizontal="center" vertical="center" wrapText="1"/>
    </xf>
    <xf numFmtId="0" fontId="24" fillId="4" borderId="71" xfId="2" applyFont="1" applyFill="1" applyBorder="1" applyAlignment="1">
      <alignment horizontal="center" vertical="center" wrapText="1"/>
    </xf>
    <xf numFmtId="0" fontId="17" fillId="2" borderId="46" xfId="2" applyFont="1" applyFill="1" applyBorder="1" applyAlignment="1">
      <alignment horizontal="center" vertical="center" wrapText="1"/>
    </xf>
    <xf numFmtId="0" fontId="25" fillId="14" borderId="47" xfId="2" applyFont="1" applyFill="1" applyBorder="1" applyAlignment="1">
      <alignment horizontal="center" vertical="center"/>
    </xf>
    <xf numFmtId="0" fontId="25" fillId="14" borderId="48" xfId="2" applyFont="1" applyFill="1" applyBorder="1" applyAlignment="1">
      <alignment horizontal="center" vertical="center"/>
    </xf>
    <xf numFmtId="0" fontId="26" fillId="0" borderId="48" xfId="2" applyFont="1" applyBorder="1" applyAlignment="1">
      <alignment horizontal="justify" vertical="center" wrapText="1"/>
    </xf>
    <xf numFmtId="0" fontId="26" fillId="0" borderId="49" xfId="2" applyFont="1" applyBorder="1" applyAlignment="1">
      <alignment horizontal="justify" vertical="center" wrapText="1"/>
    </xf>
    <xf numFmtId="0" fontId="34" fillId="4" borderId="75" xfId="4" applyFont="1" applyFill="1" applyBorder="1" applyAlignment="1">
      <alignment horizontal="left" vertical="center" wrapText="1" readingOrder="1"/>
    </xf>
    <xf numFmtId="0" fontId="34" fillId="4" borderId="76" xfId="4" applyFont="1" applyFill="1" applyBorder="1" applyAlignment="1">
      <alignment horizontal="left" vertical="center" wrapText="1" readingOrder="1"/>
    </xf>
    <xf numFmtId="0" fontId="35" fillId="0" borderId="65" xfId="3" applyFont="1" applyBorder="1" applyAlignment="1">
      <alignment horizontal="left" vertical="center" wrapText="1"/>
    </xf>
    <xf numFmtId="0" fontId="35" fillId="0" borderId="66" xfId="3" applyFont="1" applyBorder="1" applyAlignment="1">
      <alignment horizontal="left" vertical="center" wrapText="1"/>
    </xf>
    <xf numFmtId="0" fontId="34" fillId="4" borderId="67" xfId="0" applyFont="1" applyFill="1" applyBorder="1" applyAlignment="1">
      <alignment horizontal="left" vertical="center" wrapText="1"/>
    </xf>
    <xf numFmtId="0" fontId="34" fillId="4" borderId="68" xfId="0" applyFont="1" applyFill="1" applyBorder="1" applyAlignment="1">
      <alignment horizontal="left" vertical="center" wrapText="1"/>
    </xf>
    <xf numFmtId="0" fontId="35" fillId="0" borderId="69" xfId="3" applyFont="1" applyBorder="1" applyAlignment="1">
      <alignment horizontal="left" vertical="top" wrapText="1"/>
    </xf>
    <xf numFmtId="0" fontId="35" fillId="0" borderId="70" xfId="3" applyFont="1" applyBorder="1" applyAlignment="1">
      <alignment horizontal="left" vertical="top" wrapText="1"/>
    </xf>
    <xf numFmtId="0" fontId="30" fillId="0" borderId="58" xfId="3" applyFont="1" applyBorder="1" applyAlignment="1">
      <alignment horizontal="center" vertical="center" wrapText="1"/>
    </xf>
    <xf numFmtId="0" fontId="30" fillId="0" borderId="55" xfId="3" applyFont="1" applyBorder="1" applyAlignment="1">
      <alignment horizontal="center" vertical="center" wrapText="1"/>
    </xf>
    <xf numFmtId="0" fontId="30" fillId="0" borderId="8" xfId="3" applyFont="1" applyBorder="1" applyAlignment="1">
      <alignment horizontal="center" vertical="center" wrapText="1"/>
    </xf>
    <xf numFmtId="0" fontId="26" fillId="0" borderId="59" xfId="3" quotePrefix="1" applyFont="1" applyBorder="1" applyAlignment="1">
      <alignment horizontal="left" vertical="center" wrapText="1"/>
    </xf>
    <xf numFmtId="0" fontId="26" fillId="0" borderId="0" xfId="3" quotePrefix="1" applyFont="1" applyAlignment="1">
      <alignment horizontal="left" vertical="center" wrapText="1"/>
    </xf>
    <xf numFmtId="0" fontId="26" fillId="0" borderId="60" xfId="3" quotePrefix="1" applyFont="1" applyBorder="1" applyAlignment="1">
      <alignment horizontal="left" vertical="center" wrapText="1"/>
    </xf>
    <xf numFmtId="0" fontId="31" fillId="4" borderId="59" xfId="3" quotePrefix="1" applyFont="1" applyFill="1" applyBorder="1" applyAlignment="1">
      <alignment horizontal="left" vertical="top" wrapText="1"/>
    </xf>
    <xf numFmtId="0" fontId="25" fillId="4" borderId="0" xfId="3" quotePrefix="1" applyFont="1" applyFill="1" applyAlignment="1">
      <alignment horizontal="left" vertical="top" wrapText="1"/>
    </xf>
    <xf numFmtId="0" fontId="25" fillId="4" borderId="60" xfId="3" quotePrefix="1" applyFont="1" applyFill="1" applyBorder="1" applyAlignment="1">
      <alignment horizontal="left" vertical="top" wrapText="1"/>
    </xf>
    <xf numFmtId="0" fontId="26" fillId="4" borderId="59" xfId="3" quotePrefix="1" applyFont="1" applyFill="1" applyBorder="1" applyAlignment="1">
      <alignment horizontal="left" vertical="top" wrapText="1"/>
    </xf>
    <xf numFmtId="0" fontId="26" fillId="4" borderId="0" xfId="3" quotePrefix="1" applyFont="1" applyFill="1" applyAlignment="1">
      <alignment horizontal="left" vertical="top" wrapText="1"/>
    </xf>
    <xf numFmtId="0" fontId="26" fillId="4" borderId="60" xfId="3" quotePrefix="1" applyFont="1" applyFill="1" applyBorder="1" applyAlignment="1">
      <alignment horizontal="left" vertical="top" wrapText="1"/>
    </xf>
    <xf numFmtId="0" fontId="34" fillId="16" borderId="61" xfId="4" applyFont="1" applyFill="1" applyBorder="1" applyAlignment="1">
      <alignment horizontal="center" vertical="center" wrapText="1"/>
    </xf>
    <xf numFmtId="0" fontId="34" fillId="16" borderId="62" xfId="4" applyFont="1" applyFill="1" applyBorder="1" applyAlignment="1">
      <alignment horizontal="center" vertical="center" wrapText="1"/>
    </xf>
    <xf numFmtId="0" fontId="34" fillId="16" borderId="63" xfId="3" applyFont="1" applyFill="1" applyBorder="1" applyAlignment="1">
      <alignment horizontal="center" vertical="center"/>
    </xf>
    <xf numFmtId="0" fontId="34" fillId="16" borderId="64" xfId="3" applyFont="1" applyFill="1" applyBorder="1" applyAlignment="1">
      <alignment horizontal="center" vertical="center"/>
    </xf>
    <xf numFmtId="49" fontId="45" fillId="5" borderId="0" xfId="0" applyNumberFormat="1" applyFont="1" applyFill="1" applyAlignment="1">
      <alignment horizontal="center" vertical="center"/>
    </xf>
    <xf numFmtId="0" fontId="44" fillId="11" borderId="11" xfId="0" applyFont="1" applyFill="1" applyBorder="1" applyAlignment="1">
      <alignment horizontal="center" vertical="center" wrapText="1"/>
    </xf>
    <xf numFmtId="0" fontId="44" fillId="11" borderId="12" xfId="0" applyFont="1" applyFill="1" applyBorder="1" applyAlignment="1">
      <alignment horizontal="center" vertical="center" wrapText="1"/>
    </xf>
    <xf numFmtId="0" fontId="44" fillId="11" borderId="13" xfId="0" applyFont="1" applyFill="1" applyBorder="1" applyAlignment="1">
      <alignment horizontal="center" vertical="center" wrapText="1"/>
    </xf>
    <xf numFmtId="49" fontId="44" fillId="11" borderId="14" xfId="0" applyNumberFormat="1" applyFont="1" applyFill="1" applyBorder="1" applyAlignment="1">
      <alignment horizontal="center" vertical="center" wrapText="1"/>
    </xf>
    <xf numFmtId="49" fontId="44" fillId="11" borderId="15" xfId="0" applyNumberFormat="1" applyFont="1" applyFill="1" applyBorder="1" applyAlignment="1">
      <alignment horizontal="center" vertical="center" wrapText="1"/>
    </xf>
    <xf numFmtId="49" fontId="44" fillId="11" borderId="16" xfId="0" applyNumberFormat="1" applyFont="1" applyFill="1" applyBorder="1" applyAlignment="1">
      <alignment horizontal="center" vertical="center" wrapText="1"/>
    </xf>
    <xf numFmtId="0" fontId="44" fillId="9" borderId="11" xfId="0" applyFont="1" applyFill="1" applyBorder="1" applyAlignment="1">
      <alignment horizontal="center" vertical="center" wrapText="1"/>
    </xf>
    <xf numFmtId="0" fontId="44" fillId="9" borderId="12" xfId="0" applyFont="1" applyFill="1" applyBorder="1" applyAlignment="1">
      <alignment horizontal="center" vertical="center" wrapText="1"/>
    </xf>
    <xf numFmtId="0" fontId="44" fillId="9" borderId="13" xfId="0" applyFont="1" applyFill="1" applyBorder="1" applyAlignment="1">
      <alignment horizontal="center" vertical="center" wrapText="1"/>
    </xf>
    <xf numFmtId="49" fontId="44" fillId="9" borderId="14" xfId="0" applyNumberFormat="1" applyFont="1" applyFill="1" applyBorder="1" applyAlignment="1">
      <alignment horizontal="center" vertical="center" wrapText="1"/>
    </xf>
    <xf numFmtId="49" fontId="44" fillId="9" borderId="15" xfId="0" applyNumberFormat="1" applyFont="1" applyFill="1" applyBorder="1" applyAlignment="1">
      <alignment horizontal="center" vertical="center" wrapText="1"/>
    </xf>
    <xf numFmtId="49" fontId="44" fillId="9" borderId="16" xfId="0" applyNumberFormat="1" applyFont="1" applyFill="1" applyBorder="1" applyAlignment="1">
      <alignment horizontal="center" vertical="center" wrapText="1"/>
    </xf>
    <xf numFmtId="0" fontId="44" fillId="6" borderId="11" xfId="0" applyFont="1" applyFill="1" applyBorder="1" applyAlignment="1">
      <alignment horizontal="center" vertical="center" wrapText="1"/>
    </xf>
    <xf numFmtId="0" fontId="44" fillId="6" borderId="12" xfId="0" applyFont="1" applyFill="1" applyBorder="1" applyAlignment="1">
      <alignment horizontal="center" vertical="center" wrapText="1"/>
    </xf>
    <xf numFmtId="0" fontId="44" fillId="6" borderId="13" xfId="0" applyFont="1" applyFill="1" applyBorder="1" applyAlignment="1">
      <alignment horizontal="center" vertical="center" wrapText="1"/>
    </xf>
    <xf numFmtId="49" fontId="8" fillId="6" borderId="14" xfId="0" applyNumberFormat="1" applyFont="1" applyFill="1" applyBorder="1" applyAlignment="1">
      <alignment horizontal="center" vertical="center" wrapText="1"/>
    </xf>
    <xf numFmtId="49" fontId="8" fillId="6" borderId="15" xfId="0" applyNumberFormat="1" applyFont="1" applyFill="1" applyBorder="1" applyAlignment="1">
      <alignment horizontal="center" vertical="center" wrapText="1"/>
    </xf>
    <xf numFmtId="49" fontId="8" fillId="6" borderId="16" xfId="0" applyNumberFormat="1" applyFont="1" applyFill="1" applyBorder="1" applyAlignment="1">
      <alignment horizontal="center" vertical="center" wrapText="1"/>
    </xf>
    <xf numFmtId="49" fontId="8" fillId="10" borderId="14" xfId="0" applyNumberFormat="1" applyFont="1" applyFill="1" applyBorder="1" applyAlignment="1">
      <alignment horizontal="center" vertical="center" wrapText="1"/>
    </xf>
    <xf numFmtId="49" fontId="8" fillId="10" borderId="15" xfId="0" applyNumberFormat="1" applyFont="1" applyFill="1" applyBorder="1" applyAlignment="1">
      <alignment horizontal="center" vertical="center" wrapText="1"/>
    </xf>
    <xf numFmtId="49" fontId="8" fillId="10" borderId="16" xfId="0" applyNumberFormat="1" applyFont="1" applyFill="1" applyBorder="1" applyAlignment="1">
      <alignment horizontal="center" vertical="center" wrapText="1"/>
    </xf>
    <xf numFmtId="0" fontId="44" fillId="10" borderId="11" xfId="0" applyFont="1" applyFill="1" applyBorder="1" applyAlignment="1">
      <alignment horizontal="center" vertical="center" wrapText="1"/>
    </xf>
    <xf numFmtId="0" fontId="44" fillId="10" borderId="12" xfId="0" applyFont="1" applyFill="1" applyBorder="1" applyAlignment="1">
      <alignment horizontal="center" vertical="center" wrapText="1"/>
    </xf>
    <xf numFmtId="0" fontId="44" fillId="10" borderId="13" xfId="0" applyFont="1" applyFill="1" applyBorder="1" applyAlignment="1">
      <alignment horizontal="center" vertical="center" wrapText="1"/>
    </xf>
    <xf numFmtId="0" fontId="44" fillId="9" borderId="6" xfId="0" applyFont="1" applyFill="1" applyBorder="1" applyAlignment="1">
      <alignment horizontal="center" vertical="center" wrapText="1"/>
    </xf>
    <xf numFmtId="49" fontId="44" fillId="6" borderId="11" xfId="0" applyNumberFormat="1" applyFont="1" applyFill="1" applyBorder="1" applyAlignment="1">
      <alignment horizontal="center" vertical="center" wrapText="1"/>
    </xf>
    <xf numFmtId="49" fontId="44" fillId="6" borderId="12" xfId="0" applyNumberFormat="1" applyFont="1" applyFill="1" applyBorder="1" applyAlignment="1">
      <alignment horizontal="center" vertical="center" wrapText="1"/>
    </xf>
    <xf numFmtId="49" fontId="44" fillId="6" borderId="13" xfId="0" applyNumberFormat="1" applyFont="1" applyFill="1" applyBorder="1" applyAlignment="1">
      <alignment horizontal="center" vertical="center" wrapText="1"/>
    </xf>
    <xf numFmtId="49" fontId="44" fillId="10" borderId="11" xfId="0" applyNumberFormat="1" applyFont="1" applyFill="1" applyBorder="1" applyAlignment="1">
      <alignment horizontal="center" vertical="center" wrapText="1"/>
    </xf>
    <xf numFmtId="49" fontId="44" fillId="10" borderId="12" xfId="0" applyNumberFormat="1" applyFont="1" applyFill="1" applyBorder="1" applyAlignment="1">
      <alignment horizontal="center" vertical="center" wrapText="1"/>
    </xf>
    <xf numFmtId="49" fontId="44" fillId="10" borderId="13" xfId="0" applyNumberFormat="1" applyFont="1" applyFill="1" applyBorder="1" applyAlignment="1">
      <alignment horizontal="center" vertical="center" wrapText="1"/>
    </xf>
    <xf numFmtId="49" fontId="44" fillId="2" borderId="11" xfId="0" applyNumberFormat="1" applyFont="1" applyFill="1" applyBorder="1" applyAlignment="1">
      <alignment horizontal="center" vertical="center" wrapText="1"/>
    </xf>
    <xf numFmtId="49" fontId="44" fillId="2" borderId="12" xfId="0" applyNumberFormat="1" applyFont="1" applyFill="1" applyBorder="1" applyAlignment="1">
      <alignment horizontal="center" vertical="center" wrapText="1"/>
    </xf>
    <xf numFmtId="49" fontId="44" fillId="2" borderId="13" xfId="0" applyNumberFormat="1" applyFont="1" applyFill="1" applyBorder="1" applyAlignment="1">
      <alignment horizontal="center" vertical="center" wrapText="1"/>
    </xf>
    <xf numFmtId="49" fontId="44" fillId="11" borderId="11" xfId="0" applyNumberFormat="1" applyFont="1" applyFill="1" applyBorder="1" applyAlignment="1">
      <alignment horizontal="center" vertical="center" wrapText="1"/>
    </xf>
    <xf numFmtId="49" fontId="44" fillId="11" borderId="12" xfId="0" applyNumberFormat="1" applyFont="1" applyFill="1" applyBorder="1" applyAlignment="1">
      <alignment horizontal="center" vertical="center" wrapText="1"/>
    </xf>
    <xf numFmtId="49" fontId="44" fillId="11" borderId="13" xfId="0" applyNumberFormat="1" applyFont="1" applyFill="1" applyBorder="1" applyAlignment="1">
      <alignment horizontal="center" vertical="center" wrapText="1"/>
    </xf>
    <xf numFmtId="49" fontId="44" fillId="9" borderId="11" xfId="0" applyNumberFormat="1" applyFont="1" applyFill="1" applyBorder="1" applyAlignment="1">
      <alignment horizontal="center" vertical="center" wrapText="1"/>
    </xf>
    <xf numFmtId="49" fontId="44" fillId="9" borderId="12" xfId="0" applyNumberFormat="1" applyFont="1" applyFill="1" applyBorder="1" applyAlignment="1">
      <alignment horizontal="center" vertical="center" wrapText="1"/>
    </xf>
    <xf numFmtId="49" fontId="44" fillId="9" borderId="13" xfId="0" applyNumberFormat="1" applyFont="1" applyFill="1" applyBorder="1" applyAlignment="1">
      <alignment horizontal="center" vertical="center" wrapText="1"/>
    </xf>
    <xf numFmtId="49" fontId="44" fillId="10" borderId="3" xfId="0" applyNumberFormat="1" applyFont="1" applyFill="1" applyBorder="1" applyAlignment="1">
      <alignment horizontal="center" vertical="center" wrapText="1"/>
    </xf>
    <xf numFmtId="0" fontId="44" fillId="10" borderId="3" xfId="0" applyFont="1" applyFill="1" applyBorder="1" applyAlignment="1">
      <alignment horizontal="center" vertical="center" wrapText="1"/>
    </xf>
    <xf numFmtId="49" fontId="44" fillId="10" borderId="15" xfId="0" applyNumberFormat="1" applyFont="1" applyFill="1" applyBorder="1" applyAlignment="1">
      <alignment horizontal="center" vertical="center" wrapText="1"/>
    </xf>
    <xf numFmtId="49" fontId="44" fillId="2" borderId="14" xfId="0" applyNumberFormat="1" applyFont="1" applyFill="1" applyBorder="1" applyAlignment="1">
      <alignment horizontal="center" vertical="center" wrapText="1"/>
    </xf>
    <xf numFmtId="49" fontId="44" fillId="2" borderId="15" xfId="0" applyNumberFormat="1" applyFont="1" applyFill="1" applyBorder="1" applyAlignment="1">
      <alignment horizontal="center" vertical="center" wrapText="1"/>
    </xf>
    <xf numFmtId="49" fontId="44" fillId="2" borderId="16" xfId="0" applyNumberFormat="1" applyFont="1" applyFill="1" applyBorder="1" applyAlignment="1">
      <alignment horizontal="center" vertical="center" wrapText="1"/>
    </xf>
    <xf numFmtId="0" fontId="44" fillId="2" borderId="11" xfId="0" applyFont="1" applyFill="1" applyBorder="1" applyAlignment="1">
      <alignment horizontal="center" vertical="center" wrapText="1"/>
    </xf>
    <xf numFmtId="0" fontId="44" fillId="2" borderId="12" xfId="0" applyFont="1" applyFill="1" applyBorder="1" applyAlignment="1">
      <alignment horizontal="center" vertical="center" wrapText="1"/>
    </xf>
    <xf numFmtId="0" fontId="44" fillId="2" borderId="13" xfId="0" applyFont="1" applyFill="1" applyBorder="1" applyAlignment="1">
      <alignment horizontal="center" vertical="center" wrapText="1"/>
    </xf>
    <xf numFmtId="0" fontId="6" fillId="2" borderId="24"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5" xfId="0" applyFont="1" applyFill="1" applyBorder="1" applyAlignment="1">
      <alignment horizontal="center" vertical="center"/>
    </xf>
    <xf numFmtId="0" fontId="19" fillId="3" borderId="32" xfId="2" applyFont="1" applyFill="1" applyBorder="1" applyAlignment="1">
      <alignment horizontal="center" vertical="center" wrapText="1"/>
    </xf>
    <xf numFmtId="0" fontId="19" fillId="3" borderId="33" xfId="2" applyFont="1" applyFill="1" applyBorder="1" applyAlignment="1">
      <alignment horizontal="center" vertical="center" wrapText="1"/>
    </xf>
    <xf numFmtId="0" fontId="23" fillId="6" borderId="14" xfId="0" applyFont="1" applyFill="1" applyBorder="1" applyAlignment="1">
      <alignment horizontal="center" vertical="center" textRotation="90" wrapText="1"/>
    </xf>
    <xf numFmtId="0" fontId="23" fillId="6" borderId="15" xfId="0" applyFont="1" applyFill="1" applyBorder="1" applyAlignment="1">
      <alignment horizontal="center" vertical="center" textRotation="90" wrapText="1"/>
    </xf>
    <xf numFmtId="0" fontId="23" fillId="6" borderId="16" xfId="0" applyFont="1" applyFill="1" applyBorder="1" applyAlignment="1">
      <alignment horizontal="center" vertical="center" textRotation="90" wrapText="1"/>
    </xf>
    <xf numFmtId="0" fontId="19" fillId="2" borderId="37" xfId="2" applyFont="1" applyFill="1" applyBorder="1" applyAlignment="1">
      <alignment horizontal="center" vertical="center" wrapText="1"/>
    </xf>
    <xf numFmtId="0" fontId="19" fillId="2" borderId="83" xfId="2" applyFont="1" applyFill="1" applyBorder="1" applyAlignment="1">
      <alignment horizontal="center" vertical="center" wrapText="1"/>
    </xf>
    <xf numFmtId="0" fontId="19" fillId="2" borderId="38" xfId="2" applyFont="1" applyFill="1" applyBorder="1" applyAlignment="1">
      <alignment horizontal="center" vertical="center" wrapText="1"/>
    </xf>
    <xf numFmtId="0" fontId="19" fillId="2" borderId="39" xfId="2" applyFont="1" applyFill="1" applyBorder="1" applyAlignment="1">
      <alignment horizontal="center" vertical="center" wrapText="1"/>
    </xf>
    <xf numFmtId="0" fontId="19" fillId="2" borderId="40" xfId="2" applyFont="1" applyFill="1" applyBorder="1" applyAlignment="1">
      <alignment horizontal="center" vertical="center" wrapText="1"/>
    </xf>
    <xf numFmtId="0" fontId="19" fillId="2" borderId="42" xfId="2" applyFont="1" applyFill="1" applyBorder="1" applyAlignment="1">
      <alignment horizontal="center" vertical="center" wrapText="1"/>
    </xf>
    <xf numFmtId="0" fontId="19" fillId="2" borderId="41" xfId="2" applyFont="1" applyFill="1" applyBorder="1" applyAlignment="1">
      <alignment horizontal="center" vertical="center" wrapText="1"/>
    </xf>
    <xf numFmtId="0" fontId="19" fillId="2" borderId="43" xfId="2" applyFont="1" applyFill="1" applyBorder="1" applyAlignment="1">
      <alignment horizontal="center" vertical="center" wrapText="1"/>
    </xf>
    <xf numFmtId="9" fontId="41" fillId="0" borderId="87" xfId="0" applyNumberFormat="1" applyFont="1" applyBorder="1" applyAlignment="1" applyProtection="1">
      <alignment horizontal="center" vertical="center"/>
      <protection hidden="1"/>
    </xf>
    <xf numFmtId="9" fontId="41" fillId="0" borderId="88" xfId="0" applyNumberFormat="1" applyFont="1" applyBorder="1" applyAlignment="1" applyProtection="1">
      <alignment horizontal="center" vertical="center"/>
      <protection hidden="1"/>
    </xf>
    <xf numFmtId="9" fontId="28" fillId="7" borderId="84" xfId="1" applyFont="1" applyFill="1" applyBorder="1" applyAlignment="1" applyProtection="1">
      <alignment horizontal="center" vertical="center"/>
      <protection hidden="1"/>
    </xf>
    <xf numFmtId="9" fontId="28" fillId="7" borderId="85" xfId="1" applyFont="1" applyFill="1" applyBorder="1" applyAlignment="1" applyProtection="1">
      <alignment horizontal="center" vertical="center"/>
      <protection hidden="1"/>
    </xf>
    <xf numFmtId="9" fontId="28" fillId="7" borderId="86" xfId="1" applyFont="1" applyFill="1" applyBorder="1" applyAlignment="1" applyProtection="1">
      <alignment horizontal="center" vertical="center"/>
      <protection hidden="1"/>
    </xf>
    <xf numFmtId="0" fontId="27" fillId="9" borderId="14" xfId="0" applyFont="1" applyFill="1" applyBorder="1" applyAlignment="1">
      <alignment horizontal="center" vertical="center" textRotation="90"/>
    </xf>
    <xf numFmtId="0" fontId="27" fillId="9" borderId="15" xfId="0" applyFont="1" applyFill="1" applyBorder="1" applyAlignment="1">
      <alignment horizontal="center" vertical="center" textRotation="90"/>
    </xf>
    <xf numFmtId="0" fontId="27" fillId="9" borderId="16" xfId="0" applyFont="1" applyFill="1" applyBorder="1" applyAlignment="1">
      <alignment horizontal="center" vertical="center" textRotation="90"/>
    </xf>
    <xf numFmtId="9" fontId="41" fillId="4" borderId="87" xfId="0" applyNumberFormat="1" applyFont="1" applyFill="1" applyBorder="1" applyAlignment="1" applyProtection="1">
      <alignment horizontal="center" vertical="center"/>
      <protection hidden="1"/>
    </xf>
    <xf numFmtId="9" fontId="41" fillId="4" borderId="88" xfId="0" applyNumberFormat="1" applyFont="1" applyFill="1" applyBorder="1" applyAlignment="1" applyProtection="1">
      <alignment horizontal="center" vertical="center"/>
      <protection hidden="1"/>
    </xf>
    <xf numFmtId="9" fontId="41" fillId="4" borderId="89" xfId="0" applyNumberFormat="1" applyFont="1" applyFill="1" applyBorder="1" applyAlignment="1" applyProtection="1">
      <alignment horizontal="center" vertical="center"/>
      <protection hidden="1"/>
    </xf>
    <xf numFmtId="0" fontId="27" fillId="11" borderId="15" xfId="0" applyFont="1" applyFill="1" applyBorder="1" applyAlignment="1">
      <alignment horizontal="center" vertical="center" textRotation="90"/>
    </xf>
    <xf numFmtId="0" fontId="27" fillId="2" borderId="14" xfId="0" applyFont="1" applyFill="1" applyBorder="1" applyAlignment="1">
      <alignment horizontal="center" vertical="center" textRotation="90"/>
    </xf>
    <xf numFmtId="0" fontId="27" fillId="2" borderId="15" xfId="0" applyFont="1" applyFill="1" applyBorder="1" applyAlignment="1">
      <alignment horizontal="center" vertical="center" textRotation="90"/>
    </xf>
    <xf numFmtId="0" fontId="27" fillId="2" borderId="16" xfId="0" applyFont="1" applyFill="1" applyBorder="1" applyAlignment="1">
      <alignment horizontal="center" vertical="center" textRotation="90"/>
    </xf>
    <xf numFmtId="9" fontId="41" fillId="0" borderId="89" xfId="0" applyNumberFormat="1" applyFont="1" applyBorder="1" applyAlignment="1" applyProtection="1">
      <alignment horizontal="center" vertical="center"/>
      <protection hidden="1"/>
    </xf>
    <xf numFmtId="0" fontId="27" fillId="10" borderId="14" xfId="0" applyFont="1" applyFill="1" applyBorder="1" applyAlignment="1">
      <alignment horizontal="center" vertical="center" textRotation="90"/>
    </xf>
    <xf numFmtId="0" fontId="27" fillId="10" borderId="15" xfId="0" applyFont="1" applyFill="1" applyBorder="1" applyAlignment="1">
      <alignment horizontal="center" vertical="center" textRotation="90"/>
    </xf>
    <xf numFmtId="0" fontId="59" fillId="0" borderId="24" xfId="0" applyFont="1" applyBorder="1" applyAlignment="1" applyProtection="1">
      <alignment horizontal="left" vertical="center" wrapText="1"/>
      <protection locked="0"/>
    </xf>
    <xf numFmtId="0" fontId="57" fillId="0" borderId="1" xfId="0" applyFont="1" applyBorder="1" applyAlignment="1" applyProtection="1">
      <alignment horizontal="left" vertical="center"/>
      <protection locked="0"/>
    </xf>
    <xf numFmtId="0" fontId="57" fillId="0" borderId="25" xfId="0" applyFont="1" applyBorder="1" applyAlignment="1" applyProtection="1">
      <alignment horizontal="left" vertical="center"/>
      <protection locked="0"/>
    </xf>
    <xf numFmtId="0" fontId="52" fillId="12" borderId="0" xfId="0" applyFont="1" applyFill="1" applyAlignment="1">
      <alignment horizontal="center" vertical="center" wrapText="1"/>
    </xf>
    <xf numFmtId="0" fontId="0" fillId="0" borderId="73" xfId="0" applyBorder="1" applyAlignment="1">
      <alignment horizontal="center"/>
    </xf>
    <xf numFmtId="0" fontId="0" fillId="0" borderId="1" xfId="0" applyBorder="1" applyAlignment="1">
      <alignment horizontal="center"/>
    </xf>
    <xf numFmtId="49" fontId="49" fillId="4" borderId="91" xfId="0" applyNumberFormat="1" applyFont="1" applyFill="1" applyBorder="1" applyAlignment="1">
      <alignment horizontal="left" vertical="center" wrapText="1"/>
    </xf>
    <xf numFmtId="49" fontId="49" fillId="4" borderId="3" xfId="0" applyNumberFormat="1" applyFont="1" applyFill="1" applyBorder="1" applyAlignment="1">
      <alignment horizontal="left" vertical="center" wrapText="1"/>
    </xf>
    <xf numFmtId="49" fontId="49" fillId="4" borderId="92" xfId="0" applyNumberFormat="1" applyFont="1" applyFill="1" applyBorder="1" applyAlignment="1">
      <alignment horizontal="left" vertical="center" wrapText="1"/>
    </xf>
    <xf numFmtId="49" fontId="49" fillId="4" borderId="4" xfId="0" applyNumberFormat="1" applyFont="1" applyFill="1" applyBorder="1" applyAlignment="1">
      <alignment horizontal="left" vertical="center" wrapText="1"/>
    </xf>
    <xf numFmtId="0" fontId="51" fillId="2" borderId="7" xfId="0" applyFont="1" applyFill="1" applyBorder="1" applyAlignment="1">
      <alignment horizontal="center" vertical="center" wrapText="1"/>
    </xf>
    <xf numFmtId="0" fontId="51" fillId="2" borderId="6" xfId="0" applyFont="1" applyFill="1" applyBorder="1" applyAlignment="1">
      <alignment horizontal="center" vertical="center" wrapText="1"/>
    </xf>
    <xf numFmtId="0" fontId="56" fillId="4" borderId="3" xfId="0" applyFont="1" applyFill="1" applyBorder="1" applyAlignment="1" applyProtection="1">
      <alignment horizontal="center" vertical="center"/>
      <protection locked="0"/>
    </xf>
    <xf numFmtId="164" fontId="56" fillId="4" borderId="22" xfId="0" applyNumberFormat="1" applyFont="1" applyFill="1" applyBorder="1" applyAlignment="1" applyProtection="1">
      <alignment horizontal="center" vertical="center"/>
      <protection locked="0"/>
    </xf>
    <xf numFmtId="164" fontId="56" fillId="4" borderId="23" xfId="0" applyNumberFormat="1" applyFont="1" applyFill="1" applyBorder="1" applyAlignment="1" applyProtection="1">
      <alignment horizontal="center" vertical="center"/>
      <protection locked="0"/>
    </xf>
    <xf numFmtId="164" fontId="56" fillId="4" borderId="9" xfId="0" applyNumberFormat="1" applyFont="1" applyFill="1" applyBorder="1" applyAlignment="1" applyProtection="1">
      <alignment horizontal="center" vertical="center"/>
      <protection locked="0"/>
    </xf>
    <xf numFmtId="0" fontId="52" fillId="2" borderId="24" xfId="0" applyFont="1" applyFill="1" applyBorder="1" applyAlignment="1">
      <alignment horizontal="center" vertical="center" wrapText="1"/>
    </xf>
    <xf numFmtId="0" fontId="52" fillId="2" borderId="1" xfId="0" applyFont="1" applyFill="1" applyBorder="1" applyAlignment="1">
      <alignment horizontal="center" vertical="center" wrapText="1"/>
    </xf>
    <xf numFmtId="0" fontId="52" fillId="2" borderId="25" xfId="0" applyFont="1" applyFill="1" applyBorder="1" applyAlignment="1">
      <alignment horizontal="center" vertical="center" wrapText="1"/>
    </xf>
    <xf numFmtId="0" fontId="9" fillId="2" borderId="27" xfId="0" applyFont="1" applyFill="1" applyBorder="1" applyAlignment="1">
      <alignment horizontal="center" vertical="center"/>
    </xf>
    <xf numFmtId="0" fontId="9" fillId="2" borderId="28" xfId="0" applyFont="1" applyFill="1" applyBorder="1" applyAlignment="1">
      <alignment horizontal="center" vertical="center"/>
    </xf>
    <xf numFmtId="0" fontId="9" fillId="2" borderId="29" xfId="0" applyFont="1" applyFill="1" applyBorder="1" applyAlignment="1">
      <alignment horizontal="center" vertical="center"/>
    </xf>
    <xf numFmtId="49" fontId="49" fillId="4" borderId="90" xfId="0" applyNumberFormat="1" applyFont="1" applyFill="1" applyBorder="1" applyAlignment="1">
      <alignment horizontal="left" vertical="center" wrapText="1"/>
    </xf>
    <xf numFmtId="49" fontId="49" fillId="4" borderId="2" xfId="0" applyNumberFormat="1" applyFont="1" applyFill="1" applyBorder="1" applyAlignment="1">
      <alignment horizontal="left" vertical="center" wrapText="1"/>
    </xf>
    <xf numFmtId="49" fontId="58" fillId="4" borderId="2" xfId="0" applyNumberFormat="1" applyFont="1" applyFill="1" applyBorder="1" applyAlignment="1" applyProtection="1">
      <alignment horizontal="left" vertical="top" wrapText="1"/>
      <protection locked="0"/>
    </xf>
    <xf numFmtId="49" fontId="58" fillId="4" borderId="84" xfId="0" applyNumberFormat="1" applyFont="1" applyFill="1" applyBorder="1" applyAlignment="1" applyProtection="1">
      <alignment horizontal="left" vertical="top" wrapText="1"/>
      <protection locked="0"/>
    </xf>
    <xf numFmtId="49" fontId="0" fillId="4" borderId="3" xfId="0" applyNumberFormat="1" applyFill="1" applyBorder="1" applyAlignment="1" applyProtection="1">
      <alignment horizontal="left" vertical="top" wrapText="1"/>
      <protection locked="0"/>
    </xf>
    <xf numFmtId="49" fontId="0" fillId="4" borderId="85" xfId="0" applyNumberFormat="1" applyFill="1" applyBorder="1" applyAlignment="1" applyProtection="1">
      <alignment horizontal="left" vertical="top" wrapText="1"/>
      <protection locked="0"/>
    </xf>
    <xf numFmtId="49" fontId="0" fillId="4" borderId="4" xfId="0" applyNumberFormat="1" applyFill="1" applyBorder="1" applyAlignment="1" applyProtection="1">
      <alignment horizontal="left" vertical="top" wrapText="1"/>
      <protection locked="0"/>
    </xf>
    <xf numFmtId="49" fontId="0" fillId="4" borderId="86" xfId="0" applyNumberFormat="1" applyFill="1" applyBorder="1" applyAlignment="1" applyProtection="1">
      <alignment horizontal="left" vertical="top" wrapText="1"/>
      <protection locked="0"/>
    </xf>
    <xf numFmtId="0" fontId="26" fillId="4" borderId="0" xfId="3" applyFont="1" applyFill="1" applyAlignment="1"/>
  </cellXfs>
  <cellStyles count="5">
    <cellStyle name="Normal" xfId="0" builtinId="0"/>
    <cellStyle name="Normal - Style1 2" xfId="3" xr:uid="{00000000-0005-0000-0000-000001000000}"/>
    <cellStyle name="Normal 2" xfId="2" xr:uid="{00000000-0005-0000-0000-000002000000}"/>
    <cellStyle name="Normal 2 2" xfId="4" xr:uid="{00000000-0005-0000-0000-000003000000}"/>
    <cellStyle name="Porcentaje" xfId="1" builtinId="5"/>
  </cellStyles>
  <dxfs count="20">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1050132</xdr:colOff>
      <xdr:row>0</xdr:row>
      <xdr:rowOff>66818</xdr:rowOff>
    </xdr:from>
    <xdr:to>
      <xdr:col>7</xdr:col>
      <xdr:colOff>726282</xdr:colOff>
      <xdr:row>11</xdr:row>
      <xdr:rowOff>47624</xdr:rowOff>
    </xdr:to>
    <xdr:pic>
      <xdr:nvPicPr>
        <xdr:cNvPr id="2" name="Imagen 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7169945" y="66818"/>
          <a:ext cx="3676650" cy="23382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281667</xdr:colOff>
      <xdr:row>7</xdr:row>
      <xdr:rowOff>102768</xdr:rowOff>
    </xdr:from>
    <xdr:to>
      <xdr:col>6</xdr:col>
      <xdr:colOff>595313</xdr:colOff>
      <xdr:row>14</xdr:row>
      <xdr:rowOff>55289</xdr:rowOff>
    </xdr:to>
    <xdr:pic>
      <xdr:nvPicPr>
        <xdr:cNvPr id="4" name="Imagen 3">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4567917" y="2037534"/>
          <a:ext cx="3959935" cy="23486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esktop/cesar/HISTORICOS/2020-04-22_Formato_informe_sci_parametrizado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lisis de Resultados"/>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4"/>
  <sheetViews>
    <sheetView zoomScale="90" zoomScaleNormal="90" workbookViewId="0">
      <selection activeCell="A5" sqref="A5"/>
    </sheetView>
  </sheetViews>
  <sheetFormatPr defaultColWidth="0" defaultRowHeight="13.9" zeroHeight="1"/>
  <cols>
    <col min="1" max="1" width="3.85546875" style="42" customWidth="1"/>
    <col min="2" max="2" width="15.28515625" style="42" customWidth="1"/>
    <col min="3" max="3" width="17.28515625" style="42" customWidth="1"/>
    <col min="4" max="4" width="28.5703125" style="42" customWidth="1"/>
    <col min="5" max="5" width="12.85546875" style="42" customWidth="1"/>
    <col min="6" max="6" width="47.140625" style="42" customWidth="1"/>
    <col min="7" max="7" width="21.42578125" style="42" customWidth="1"/>
    <col min="8" max="8" width="6.5703125" style="42" customWidth="1"/>
    <col min="9" max="9" width="2.5703125" style="42" customWidth="1"/>
    <col min="10" max="16384" width="11.42578125" style="42" hidden="1"/>
  </cols>
  <sheetData>
    <row r="1" spans="2:8" ht="14.45" thickBot="1"/>
    <row r="2" spans="2:8" ht="73.5" customHeight="1">
      <c r="B2" s="185" t="s">
        <v>0</v>
      </c>
      <c r="C2" s="186"/>
      <c r="D2" s="186"/>
      <c r="E2" s="186"/>
      <c r="F2" s="186"/>
      <c r="G2" s="186"/>
      <c r="H2" s="187"/>
    </row>
    <row r="3" spans="2:8" ht="65.25" customHeight="1">
      <c r="B3" s="188" t="s">
        <v>1</v>
      </c>
      <c r="C3" s="189"/>
      <c r="D3" s="189"/>
      <c r="E3" s="189"/>
      <c r="F3" s="189"/>
      <c r="G3" s="189"/>
      <c r="H3" s="190"/>
    </row>
    <row r="4" spans="2:8" ht="82.5" customHeight="1">
      <c r="B4" s="188"/>
      <c r="C4" s="189"/>
      <c r="D4" s="189"/>
      <c r="E4" s="189"/>
      <c r="F4" s="189"/>
      <c r="G4" s="189"/>
      <c r="H4" s="190"/>
    </row>
    <row r="5" spans="2:8" ht="21.75" customHeight="1">
      <c r="B5" s="191" t="s">
        <v>2</v>
      </c>
      <c r="C5" s="192"/>
      <c r="D5" s="192"/>
      <c r="E5" s="192"/>
      <c r="F5" s="192"/>
      <c r="G5" s="192"/>
      <c r="H5" s="193"/>
    </row>
    <row r="6" spans="2:8" ht="42" customHeight="1">
      <c r="B6" s="194" t="s">
        <v>3</v>
      </c>
      <c r="C6" s="195"/>
      <c r="D6" s="195"/>
      <c r="E6" s="195"/>
      <c r="F6" s="195"/>
      <c r="G6" s="195"/>
      <c r="H6" s="196"/>
    </row>
    <row r="7" spans="2:8" ht="14.25" customHeight="1">
      <c r="B7" s="194"/>
      <c r="C7" s="195"/>
      <c r="D7" s="195"/>
      <c r="E7" s="195"/>
      <c r="F7" s="195"/>
      <c r="G7" s="195"/>
      <c r="H7" s="196"/>
    </row>
    <row r="8" spans="2:8" ht="12.75" customHeight="1" thickBot="1">
      <c r="B8" s="54"/>
      <c r="C8" s="48"/>
      <c r="D8" s="63"/>
      <c r="E8" s="64"/>
      <c r="F8" s="64"/>
      <c r="G8" s="62"/>
      <c r="H8" s="56"/>
    </row>
    <row r="9" spans="2:8" ht="21" customHeight="1" thickTop="1">
      <c r="B9" s="54"/>
      <c r="C9" s="197" t="s">
        <v>4</v>
      </c>
      <c r="D9" s="198"/>
      <c r="E9" s="199" t="s">
        <v>5</v>
      </c>
      <c r="F9" s="200"/>
      <c r="G9" s="48"/>
      <c r="H9" s="56"/>
    </row>
    <row r="10" spans="2:8" ht="37.5" customHeight="1">
      <c r="B10" s="54"/>
      <c r="C10" s="177" t="s">
        <v>6</v>
      </c>
      <c r="D10" s="178"/>
      <c r="E10" s="179" t="s">
        <v>7</v>
      </c>
      <c r="F10" s="180"/>
      <c r="G10" s="48"/>
      <c r="H10" s="56"/>
    </row>
    <row r="11" spans="2:8" ht="39.75" customHeight="1">
      <c r="B11" s="54"/>
      <c r="C11" s="181" t="s">
        <v>8</v>
      </c>
      <c r="D11" s="182"/>
      <c r="E11" s="158" t="s">
        <v>9</v>
      </c>
      <c r="F11" s="159"/>
      <c r="G11" s="48"/>
      <c r="H11" s="56"/>
    </row>
    <row r="12" spans="2:8" ht="59.25" customHeight="1">
      <c r="B12" s="54"/>
      <c r="C12" s="181" t="s">
        <v>10</v>
      </c>
      <c r="D12" s="182"/>
      <c r="E12" s="183" t="s">
        <v>11</v>
      </c>
      <c r="F12" s="184"/>
      <c r="G12" s="48"/>
      <c r="H12" s="56"/>
    </row>
    <row r="13" spans="2:8" ht="33.75" customHeight="1">
      <c r="B13" s="54"/>
      <c r="C13" s="156" t="s">
        <v>12</v>
      </c>
      <c r="D13" s="157"/>
      <c r="E13" s="158" t="s">
        <v>13</v>
      </c>
      <c r="F13" s="159"/>
      <c r="G13" s="48"/>
      <c r="H13" s="56"/>
    </row>
    <row r="14" spans="2:8" ht="19.5" customHeight="1">
      <c r="B14" s="54"/>
      <c r="C14" s="60"/>
      <c r="D14" s="60"/>
      <c r="E14" s="61"/>
      <c r="F14" s="61"/>
      <c r="G14" s="48"/>
      <c r="H14" s="56"/>
    </row>
    <row r="15" spans="2:8" ht="37.5" customHeight="1" thickBot="1">
      <c r="B15" s="153" t="s">
        <v>14</v>
      </c>
      <c r="C15" s="154"/>
      <c r="D15" s="154"/>
      <c r="E15" s="154"/>
      <c r="F15" s="154"/>
      <c r="G15" s="154"/>
      <c r="H15" s="155"/>
    </row>
    <row r="16" spans="2:8" ht="27.75" customHeight="1" thickBot="1">
      <c r="B16" s="54"/>
      <c r="C16" s="160" t="s">
        <v>15</v>
      </c>
      <c r="D16" s="161"/>
      <c r="E16" s="161" t="s">
        <v>16</v>
      </c>
      <c r="F16" s="172"/>
      <c r="G16" s="48"/>
      <c r="H16" s="56"/>
    </row>
    <row r="17" spans="2:8" ht="27.75" customHeight="1">
      <c r="B17" s="54"/>
      <c r="C17" s="173" t="s">
        <v>17</v>
      </c>
      <c r="D17" s="174"/>
      <c r="E17" s="175" t="s">
        <v>18</v>
      </c>
      <c r="F17" s="176"/>
      <c r="G17" s="93"/>
      <c r="H17" s="56"/>
    </row>
    <row r="18" spans="2:8" ht="41.25" customHeight="1">
      <c r="B18" s="54"/>
      <c r="C18" s="162" t="s">
        <v>19</v>
      </c>
      <c r="D18" s="163"/>
      <c r="E18" s="164" t="s">
        <v>20</v>
      </c>
      <c r="F18" s="165"/>
      <c r="G18" s="94"/>
      <c r="H18" s="56"/>
    </row>
    <row r="19" spans="2:8" ht="37.5" customHeight="1" thickBot="1">
      <c r="B19" s="54"/>
      <c r="C19" s="166" t="s">
        <v>21</v>
      </c>
      <c r="D19" s="167"/>
      <c r="E19" s="168" t="s">
        <v>22</v>
      </c>
      <c r="F19" s="169"/>
      <c r="G19" s="94"/>
      <c r="H19" s="56"/>
    </row>
    <row r="20" spans="2:8" ht="11.25" customHeight="1">
      <c r="B20" s="49"/>
      <c r="C20" s="50"/>
      <c r="D20" s="50"/>
      <c r="E20" s="50"/>
      <c r="F20" s="50"/>
      <c r="G20" s="50"/>
      <c r="H20" s="51"/>
    </row>
    <row r="21" spans="2:8" ht="14.25" customHeight="1">
      <c r="B21" s="52"/>
      <c r="C21" s="170"/>
      <c r="D21" s="170"/>
      <c r="E21" s="171"/>
      <c r="F21" s="171"/>
      <c r="G21" s="171"/>
      <c r="H21" s="53"/>
    </row>
    <row r="22" spans="2:8" ht="36" customHeight="1">
      <c r="B22" s="153" t="s">
        <v>23</v>
      </c>
      <c r="C22" s="154"/>
      <c r="D22" s="154"/>
      <c r="E22" s="154"/>
      <c r="F22" s="154"/>
      <c r="G22" s="154"/>
      <c r="H22" s="155"/>
    </row>
    <row r="23" spans="2:8">
      <c r="B23" s="54"/>
      <c r="C23" s="55"/>
      <c r="D23" s="55"/>
      <c r="E23" s="315"/>
      <c r="F23" s="315"/>
      <c r="G23" s="48"/>
      <c r="H23" s="56"/>
    </row>
    <row r="24" spans="2:8" ht="14.45" thickBot="1">
      <c r="B24" s="57"/>
      <c r="C24" s="58"/>
      <c r="D24" s="58"/>
      <c r="E24" s="58"/>
      <c r="F24" s="58"/>
      <c r="G24" s="58"/>
      <c r="H24" s="59"/>
    </row>
    <row r="25" spans="2:8"/>
    <row r="26" spans="2:8" ht="29.25" customHeight="1"/>
    <row r="27" spans="2:8" ht="26.25" customHeight="1"/>
    <row r="28" spans="2:8" ht="43.5" customHeight="1"/>
    <row r="29" spans="2:8" ht="53.25" customHeight="1"/>
    <row r="30" spans="2:8"/>
    <row r="31" spans="2:8"/>
    <row r="32" spans="2:8"/>
    <row r="33"/>
    <row r="34"/>
    <row r="35"/>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row r="52"/>
    <row r="54"/>
  </sheetData>
  <sheetProtection algorithmName="SHA-512" hashValue="t7sIeOvFa2bhukBsHVcHmO5gG9cifT20ZR8W/o5PL1FLs7w8K+KkEm6wLVbMVfYFM8W9luBRuNKu+qdhAWPM7w==" saltValue="H/shNuEdnFDauevCofk8Sw==" spinCount="100000" sheet="1" objects="1" scenarios="1"/>
  <mergeCells count="27">
    <mergeCell ref="B2:H2"/>
    <mergeCell ref="B3:H4"/>
    <mergeCell ref="B5:H5"/>
    <mergeCell ref="B6:H7"/>
    <mergeCell ref="C9:D9"/>
    <mergeCell ref="E9:F9"/>
    <mergeCell ref="C10:D10"/>
    <mergeCell ref="E10:F10"/>
    <mergeCell ref="C11:D11"/>
    <mergeCell ref="E11:F11"/>
    <mergeCell ref="C12:D12"/>
    <mergeCell ref="E12:F12"/>
    <mergeCell ref="B22:H22"/>
    <mergeCell ref="E23:F23"/>
    <mergeCell ref="C13:D13"/>
    <mergeCell ref="E13:F13"/>
    <mergeCell ref="C16:D16"/>
    <mergeCell ref="C18:D18"/>
    <mergeCell ref="E18:F18"/>
    <mergeCell ref="C19:D19"/>
    <mergeCell ref="E19:F19"/>
    <mergeCell ref="C21:D21"/>
    <mergeCell ref="E21:G21"/>
    <mergeCell ref="B15:H15"/>
    <mergeCell ref="E16:F16"/>
    <mergeCell ref="C17:D17"/>
    <mergeCell ref="E17:F1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59"/>
  <sheetViews>
    <sheetView showGridLines="0" topLeftCell="C55" zoomScale="80" zoomScaleNormal="80" workbookViewId="0">
      <selection activeCell="F59" sqref="F59"/>
    </sheetView>
  </sheetViews>
  <sheetFormatPr defaultColWidth="11.42578125" defaultRowHeight="13.9"/>
  <cols>
    <col min="1" max="1" width="3" style="44" hidden="1" customWidth="1"/>
    <col min="2" max="2" width="9.42578125" style="44" customWidth="1"/>
    <col min="3" max="3" width="25.5703125" style="44" customWidth="1"/>
    <col min="4" max="4" width="46.5703125" style="44" customWidth="1"/>
    <col min="5" max="5" width="10.140625" style="66" customWidth="1"/>
    <col min="6" max="6" width="44.5703125" style="66" customWidth="1"/>
    <col min="7" max="7" width="15.42578125" style="44" customWidth="1"/>
    <col min="8" max="9" width="43" style="44" customWidth="1"/>
    <col min="10" max="12" width="11.42578125" style="69" customWidth="1"/>
    <col min="13" max="24" width="11.42578125" style="44" customWidth="1"/>
    <col min="25" max="16384" width="11.42578125" style="44"/>
  </cols>
  <sheetData>
    <row r="1" spans="1:32">
      <c r="B1" s="43"/>
      <c r="C1" s="43"/>
      <c r="D1" s="43"/>
      <c r="E1" s="65"/>
      <c r="F1" s="65"/>
      <c r="G1" s="43"/>
      <c r="H1" s="43"/>
      <c r="I1" s="43"/>
      <c r="J1" s="67"/>
      <c r="K1" s="67"/>
      <c r="L1" s="67"/>
      <c r="M1" s="43"/>
      <c r="N1" s="43"/>
      <c r="O1" s="43"/>
      <c r="P1" s="43"/>
      <c r="Q1" s="43"/>
      <c r="R1" s="43"/>
      <c r="S1" s="43"/>
      <c r="T1" s="43"/>
      <c r="U1" s="43"/>
      <c r="V1" s="43"/>
      <c r="W1" s="43"/>
      <c r="X1" s="43"/>
    </row>
    <row r="2" spans="1:32">
      <c r="B2" s="43"/>
      <c r="C2" s="43"/>
      <c r="D2" s="43"/>
      <c r="E2" s="65"/>
      <c r="F2" s="65"/>
      <c r="G2" s="43"/>
      <c r="H2" s="43"/>
      <c r="I2" s="43"/>
      <c r="J2" s="67"/>
      <c r="K2" s="67"/>
      <c r="L2" s="67"/>
      <c r="M2" s="43"/>
      <c r="N2" s="43"/>
      <c r="O2" s="43"/>
      <c r="P2" s="43"/>
      <c r="Q2" s="43"/>
      <c r="R2" s="43"/>
      <c r="S2" s="43"/>
      <c r="T2" s="43"/>
      <c r="U2" s="43"/>
      <c r="V2" s="43"/>
      <c r="W2" s="43"/>
      <c r="X2" s="43"/>
    </row>
    <row r="3" spans="1:32">
      <c r="B3" s="43"/>
      <c r="C3" s="43"/>
      <c r="D3" s="43"/>
      <c r="E3" s="65"/>
      <c r="F3" s="65"/>
      <c r="G3" s="43"/>
      <c r="H3" s="43"/>
      <c r="I3" s="43"/>
      <c r="J3" s="67"/>
      <c r="K3" s="67"/>
      <c r="L3" s="67"/>
      <c r="M3" s="43"/>
      <c r="N3" s="43"/>
      <c r="O3" s="43"/>
      <c r="P3" s="43"/>
      <c r="Q3" s="43"/>
      <c r="R3" s="43"/>
      <c r="S3" s="43"/>
      <c r="T3" s="43"/>
      <c r="U3" s="43"/>
      <c r="V3" s="43"/>
      <c r="W3" s="43"/>
      <c r="X3" s="43"/>
    </row>
    <row r="4" spans="1:32">
      <c r="B4" s="43"/>
      <c r="C4" s="43"/>
      <c r="D4" s="43"/>
      <c r="E4" s="65"/>
      <c r="F4" s="65"/>
      <c r="G4" s="43"/>
      <c r="H4" s="43"/>
      <c r="I4" s="43"/>
      <c r="J4" s="67"/>
      <c r="K4" s="67"/>
      <c r="L4" s="67"/>
      <c r="M4" s="43"/>
      <c r="N4" s="43"/>
      <c r="O4" s="43"/>
      <c r="P4" s="43"/>
      <c r="Q4" s="43"/>
      <c r="R4" s="43"/>
      <c r="S4" s="43"/>
      <c r="T4" s="43"/>
      <c r="U4" s="43"/>
      <c r="V4" s="43"/>
      <c r="W4" s="43"/>
      <c r="X4" s="43"/>
    </row>
    <row r="5" spans="1:32">
      <c r="B5" s="43"/>
      <c r="C5" s="43"/>
      <c r="D5" s="43"/>
      <c r="E5" s="65"/>
      <c r="F5" s="65"/>
      <c r="G5" s="43"/>
      <c r="H5" s="43"/>
      <c r="I5" s="43"/>
      <c r="J5" s="67"/>
      <c r="K5" s="67"/>
      <c r="L5" s="67"/>
      <c r="M5" s="43"/>
      <c r="N5" s="43"/>
      <c r="O5" s="43"/>
      <c r="P5" s="43"/>
      <c r="Q5" s="43"/>
      <c r="R5" s="43"/>
      <c r="S5" s="43"/>
      <c r="T5" s="43"/>
      <c r="U5" s="43"/>
      <c r="V5" s="43"/>
      <c r="W5" s="43"/>
      <c r="X5" s="43"/>
    </row>
    <row r="6" spans="1:32">
      <c r="B6" s="43"/>
      <c r="C6" s="43"/>
      <c r="D6" s="43"/>
      <c r="E6" s="65"/>
      <c r="F6" s="65"/>
      <c r="G6" s="43"/>
      <c r="H6" s="43"/>
      <c r="I6" s="43"/>
      <c r="J6" s="67"/>
      <c r="K6" s="67"/>
      <c r="L6" s="67"/>
      <c r="M6" s="43"/>
      <c r="N6" s="43"/>
      <c r="O6" s="43"/>
      <c r="P6" s="43"/>
      <c r="Q6" s="43"/>
      <c r="R6" s="43"/>
      <c r="S6" s="43"/>
      <c r="T6" s="43"/>
      <c r="U6" s="43"/>
      <c r="V6" s="43"/>
      <c r="W6" s="43"/>
      <c r="X6" s="43"/>
    </row>
    <row r="7" spans="1:32">
      <c r="B7" s="43"/>
      <c r="C7" s="43"/>
      <c r="D7" s="43"/>
      <c r="E7" s="65"/>
      <c r="F7" s="65"/>
      <c r="G7" s="43"/>
      <c r="H7" s="43"/>
      <c r="I7" s="43"/>
      <c r="J7" s="67"/>
      <c r="K7" s="67"/>
      <c r="L7" s="67"/>
      <c r="M7" s="43"/>
      <c r="N7" s="43"/>
      <c r="O7" s="43"/>
      <c r="P7" s="43"/>
      <c r="Q7" s="43"/>
      <c r="R7" s="43"/>
      <c r="S7" s="43"/>
      <c r="T7" s="43"/>
      <c r="U7" s="43"/>
      <c r="V7" s="43"/>
      <c r="W7" s="43"/>
      <c r="X7" s="43"/>
    </row>
    <row r="8" spans="1:32">
      <c r="B8" s="43"/>
      <c r="C8" s="43"/>
      <c r="D8" s="43"/>
      <c r="E8" s="65"/>
      <c r="F8" s="65"/>
      <c r="G8" s="43"/>
      <c r="H8" s="43"/>
      <c r="I8" s="43"/>
      <c r="J8" s="67"/>
      <c r="K8" s="67"/>
      <c r="L8" s="67"/>
      <c r="M8" s="43"/>
      <c r="N8" s="43"/>
      <c r="O8" s="43"/>
      <c r="P8" s="43"/>
      <c r="Q8" s="43"/>
      <c r="R8" s="43"/>
      <c r="S8" s="43"/>
      <c r="T8" s="43"/>
      <c r="U8" s="43"/>
      <c r="V8" s="43"/>
      <c r="W8" s="43"/>
      <c r="X8" s="43"/>
    </row>
    <row r="9" spans="1:32">
      <c r="B9" s="43"/>
      <c r="C9" s="43"/>
      <c r="D9" s="43"/>
      <c r="E9" s="65"/>
      <c r="F9" s="65"/>
      <c r="G9" s="43"/>
      <c r="H9" s="43"/>
      <c r="I9" s="43"/>
      <c r="J9" s="67"/>
      <c r="K9" s="67"/>
      <c r="L9" s="67"/>
      <c r="M9" s="43"/>
      <c r="N9" s="43"/>
      <c r="O9" s="43"/>
      <c r="P9" s="43"/>
      <c r="Q9" s="43"/>
      <c r="R9" s="43"/>
      <c r="S9" s="43"/>
      <c r="T9" s="43"/>
      <c r="U9" s="43"/>
      <c r="V9" s="43"/>
      <c r="W9" s="43"/>
      <c r="X9" s="43"/>
    </row>
    <row r="10" spans="1:32">
      <c r="B10" s="43"/>
      <c r="C10" s="43"/>
      <c r="D10" s="43"/>
      <c r="E10" s="65"/>
      <c r="F10" s="65"/>
      <c r="G10" s="43"/>
      <c r="H10" s="43"/>
      <c r="I10" s="43"/>
      <c r="J10" s="67"/>
      <c r="K10" s="67"/>
      <c r="L10" s="67"/>
      <c r="M10" s="43"/>
      <c r="N10" s="43"/>
      <c r="O10" s="43"/>
      <c r="P10" s="43"/>
      <c r="Q10" s="43"/>
      <c r="R10" s="43"/>
      <c r="S10" s="43"/>
      <c r="T10" s="43"/>
      <c r="U10" s="43"/>
      <c r="V10" s="43"/>
      <c r="W10" s="43"/>
      <c r="X10" s="43"/>
    </row>
    <row r="11" spans="1:32">
      <c r="B11" s="43"/>
      <c r="C11" s="43"/>
      <c r="D11" s="43"/>
      <c r="E11" s="65"/>
      <c r="F11" s="65"/>
      <c r="G11" s="43"/>
      <c r="H11" s="43"/>
      <c r="I11" s="43"/>
      <c r="J11" s="67"/>
      <c r="K11" s="67"/>
      <c r="L11" s="67"/>
      <c r="M11" s="43"/>
      <c r="N11" s="43"/>
      <c r="O11" s="43"/>
      <c r="P11" s="43"/>
      <c r="Q11" s="43"/>
      <c r="R11" s="43"/>
      <c r="S11" s="43"/>
      <c r="T11" s="43"/>
      <c r="U11" s="43"/>
      <c r="V11" s="43"/>
      <c r="W11" s="43"/>
      <c r="X11" s="43"/>
    </row>
    <row r="12" spans="1:32">
      <c r="B12" s="43"/>
      <c r="C12" s="43"/>
      <c r="D12" s="43"/>
      <c r="E12" s="65"/>
      <c r="F12" s="65"/>
      <c r="G12" s="43"/>
      <c r="H12" s="43"/>
      <c r="I12" s="43"/>
      <c r="J12" s="67"/>
      <c r="K12" s="67"/>
      <c r="L12" s="67"/>
      <c r="M12" s="43"/>
      <c r="N12" s="43"/>
      <c r="O12" s="43"/>
      <c r="P12" s="43"/>
      <c r="Q12" s="43"/>
      <c r="R12" s="43"/>
      <c r="S12" s="43"/>
      <c r="T12" s="43"/>
      <c r="U12" s="43"/>
      <c r="V12" s="43"/>
      <c r="W12" s="43"/>
      <c r="X12" s="43"/>
    </row>
    <row r="13" spans="1:32">
      <c r="B13" s="43"/>
      <c r="C13" s="43"/>
      <c r="D13" s="43"/>
      <c r="E13" s="65"/>
      <c r="F13" s="65"/>
      <c r="G13" s="43"/>
      <c r="H13" s="43"/>
      <c r="I13" s="43"/>
      <c r="J13" s="67"/>
      <c r="K13" s="67"/>
      <c r="L13" s="67"/>
      <c r="M13" s="43"/>
      <c r="N13" s="43"/>
      <c r="O13" s="43"/>
      <c r="P13" s="43"/>
      <c r="Q13" s="43"/>
      <c r="R13" s="43"/>
      <c r="S13" s="43"/>
      <c r="T13" s="43"/>
      <c r="U13" s="43"/>
      <c r="V13" s="43"/>
      <c r="W13" s="43"/>
      <c r="X13" s="43"/>
    </row>
    <row r="14" spans="1:32" s="46" customFormat="1" ht="49.5" customHeight="1">
      <c r="B14" s="201" t="s">
        <v>24</v>
      </c>
      <c r="C14" s="201"/>
      <c r="D14" s="201"/>
      <c r="E14" s="201"/>
      <c r="F14" s="201"/>
      <c r="G14" s="201"/>
      <c r="H14" s="201"/>
      <c r="I14" s="201"/>
      <c r="J14" s="68"/>
      <c r="K14" s="68"/>
      <c r="L14" s="68"/>
      <c r="M14" s="45"/>
      <c r="N14" s="45"/>
      <c r="O14" s="45"/>
      <c r="P14" s="45"/>
      <c r="Q14" s="45"/>
      <c r="R14" s="45"/>
      <c r="S14" s="45"/>
      <c r="T14" s="45"/>
      <c r="U14" s="45"/>
      <c r="V14" s="45"/>
      <c r="W14" s="45"/>
      <c r="X14" s="45"/>
      <c r="Y14" s="45"/>
      <c r="Z14" s="45"/>
      <c r="AA14" s="45"/>
      <c r="AB14" s="45"/>
      <c r="AC14" s="45"/>
      <c r="AD14" s="45"/>
      <c r="AE14" s="45"/>
      <c r="AF14" s="45"/>
    </row>
    <row r="15" spans="1:32" s="46" customFormat="1" ht="123.75" customHeight="1" thickBot="1">
      <c r="B15" s="71" t="s">
        <v>25</v>
      </c>
      <c r="C15" s="71" t="s">
        <v>6</v>
      </c>
      <c r="D15" s="72" t="s">
        <v>8</v>
      </c>
      <c r="E15" s="73" t="s">
        <v>26</v>
      </c>
      <c r="F15" s="73" t="s">
        <v>27</v>
      </c>
      <c r="G15" s="73" t="s">
        <v>28</v>
      </c>
      <c r="H15" s="74" t="s">
        <v>29</v>
      </c>
      <c r="I15" s="73" t="s">
        <v>30</v>
      </c>
      <c r="J15" s="68"/>
      <c r="K15" s="68"/>
      <c r="L15" s="68"/>
      <c r="M15" s="45"/>
      <c r="N15" s="45"/>
      <c r="O15" s="45"/>
      <c r="P15" s="45"/>
      <c r="Q15" s="45"/>
      <c r="R15" s="45"/>
      <c r="S15" s="45"/>
      <c r="T15" s="45"/>
      <c r="U15" s="45"/>
      <c r="V15" s="45"/>
      <c r="W15" s="45"/>
      <c r="X15" s="45"/>
      <c r="Y15" s="45"/>
      <c r="Z15" s="45"/>
      <c r="AA15" s="45"/>
      <c r="AB15" s="45"/>
      <c r="AC15" s="45"/>
      <c r="AD15" s="45"/>
      <c r="AE15" s="45"/>
      <c r="AF15" s="45"/>
    </row>
    <row r="16" spans="1:32" s="46" customFormat="1" ht="71.25" customHeight="1">
      <c r="A16" s="95" t="str">
        <f>1&amp;E16</f>
        <v>1a</v>
      </c>
      <c r="B16" s="217" t="s">
        <v>31</v>
      </c>
      <c r="C16" s="227" t="s">
        <v>32</v>
      </c>
      <c r="D16" s="214" t="s">
        <v>33</v>
      </c>
      <c r="E16" s="75" t="s">
        <v>34</v>
      </c>
      <c r="F16" s="76" t="s">
        <v>35</v>
      </c>
      <c r="G16" s="103" t="s">
        <v>36</v>
      </c>
      <c r="H16" s="104" t="s">
        <v>37</v>
      </c>
      <c r="I16" s="96" t="str">
        <f>+IF(G16="Si","Mantenimiento del control",IF(G16="En proceso","Oportunidad de mejora","Deficiencia de control"))</f>
        <v>Mantenimiento del control</v>
      </c>
      <c r="J16" s="97">
        <f t="shared" ref="J16:J27" si="0">+IF(G16="Si",20,IF(G16="En proceso",10,0))</f>
        <v>20</v>
      </c>
      <c r="K16" s="97">
        <v>0.123</v>
      </c>
      <c r="L16" s="97">
        <f>+J16+K16</f>
        <v>20.123000000000001</v>
      </c>
    </row>
    <row r="17" spans="1:32" s="46" customFormat="1" ht="83.25">
      <c r="A17" s="95" t="str">
        <f t="shared" ref="A17:A27" si="1">1&amp;E17</f>
        <v>1b</v>
      </c>
      <c r="B17" s="218"/>
      <c r="C17" s="228"/>
      <c r="D17" s="215"/>
      <c r="E17" s="77" t="s">
        <v>38</v>
      </c>
      <c r="F17" s="78" t="s">
        <v>39</v>
      </c>
      <c r="G17" s="105" t="s">
        <v>36</v>
      </c>
      <c r="H17" s="106" t="s">
        <v>40</v>
      </c>
      <c r="I17" s="98" t="str">
        <f t="shared" ref="I17:I59" si="2">+IF(G17="Si","Mantenimiento del control",IF(G17="En proceso","Oportunidad de mejora","Deficiencia de control"))</f>
        <v>Mantenimiento del control</v>
      </c>
      <c r="J17" s="99">
        <f t="shared" si="0"/>
        <v>20</v>
      </c>
      <c r="K17" s="97">
        <v>0.1234</v>
      </c>
      <c r="L17" s="97">
        <f t="shared" ref="L17:L59" si="3">+J17+K17</f>
        <v>20.1234</v>
      </c>
    </row>
    <row r="18" spans="1:32" s="46" customFormat="1" ht="83.25" customHeight="1">
      <c r="A18" s="95" t="str">
        <f t="shared" si="1"/>
        <v>1c</v>
      </c>
      <c r="B18" s="218"/>
      <c r="C18" s="228"/>
      <c r="D18" s="215"/>
      <c r="E18" s="77" t="s">
        <v>41</v>
      </c>
      <c r="F18" s="79" t="s">
        <v>42</v>
      </c>
      <c r="G18" s="105" t="s">
        <v>36</v>
      </c>
      <c r="H18" s="107" t="s">
        <v>43</v>
      </c>
      <c r="I18" s="100" t="str">
        <f t="shared" si="2"/>
        <v>Mantenimiento del control</v>
      </c>
      <c r="J18" s="99">
        <f t="shared" si="0"/>
        <v>20</v>
      </c>
      <c r="K18" s="97">
        <v>0.12345</v>
      </c>
      <c r="L18" s="97">
        <f t="shared" si="3"/>
        <v>20.123449999999998</v>
      </c>
    </row>
    <row r="19" spans="1:32" s="46" customFormat="1" ht="46.5" customHeight="1">
      <c r="A19" s="95" t="str">
        <f t="shared" si="1"/>
        <v>1d</v>
      </c>
      <c r="B19" s="218"/>
      <c r="C19" s="228"/>
      <c r="D19" s="215"/>
      <c r="E19" s="77" t="s">
        <v>44</v>
      </c>
      <c r="F19" s="79" t="s">
        <v>45</v>
      </c>
      <c r="G19" s="105" t="s">
        <v>36</v>
      </c>
      <c r="H19" s="107" t="s">
        <v>46</v>
      </c>
      <c r="I19" s="100" t="str">
        <f t="shared" si="2"/>
        <v>Mantenimiento del control</v>
      </c>
      <c r="J19" s="99">
        <f t="shared" si="0"/>
        <v>20</v>
      </c>
      <c r="K19" s="97">
        <v>0.123456</v>
      </c>
      <c r="L19" s="97">
        <f t="shared" si="3"/>
        <v>20.123456000000001</v>
      </c>
    </row>
    <row r="20" spans="1:32" s="46" customFormat="1" ht="54" customHeight="1">
      <c r="A20" s="95" t="str">
        <f t="shared" si="1"/>
        <v>1e</v>
      </c>
      <c r="B20" s="218"/>
      <c r="C20" s="228"/>
      <c r="D20" s="215"/>
      <c r="E20" s="77" t="s">
        <v>47</v>
      </c>
      <c r="F20" s="79" t="s">
        <v>48</v>
      </c>
      <c r="G20" s="105" t="s">
        <v>36</v>
      </c>
      <c r="H20" s="107" t="s">
        <v>49</v>
      </c>
      <c r="I20" s="100" t="str">
        <f t="shared" si="2"/>
        <v>Mantenimiento del control</v>
      </c>
      <c r="J20" s="99">
        <f t="shared" si="0"/>
        <v>20</v>
      </c>
      <c r="K20" s="97">
        <v>0.12345678</v>
      </c>
      <c r="L20" s="97">
        <f t="shared" si="3"/>
        <v>20.123456780000001</v>
      </c>
    </row>
    <row r="21" spans="1:32" s="46" customFormat="1" ht="87.75" customHeight="1">
      <c r="A21" s="95" t="str">
        <f t="shared" si="1"/>
        <v>1f</v>
      </c>
      <c r="B21" s="218"/>
      <c r="C21" s="228"/>
      <c r="D21" s="215"/>
      <c r="E21" s="77" t="s">
        <v>50</v>
      </c>
      <c r="F21" s="79" t="s">
        <v>51</v>
      </c>
      <c r="G21" s="105" t="s">
        <v>36</v>
      </c>
      <c r="H21" s="107" t="s">
        <v>52</v>
      </c>
      <c r="I21" s="100" t="str">
        <f t="shared" si="2"/>
        <v>Mantenimiento del control</v>
      </c>
      <c r="J21" s="99">
        <f t="shared" si="0"/>
        <v>20</v>
      </c>
      <c r="K21" s="97">
        <v>0.123456789</v>
      </c>
      <c r="L21" s="97">
        <f t="shared" si="3"/>
        <v>20.123456788999999</v>
      </c>
    </row>
    <row r="22" spans="1:32" s="46" customFormat="1" ht="138" customHeight="1">
      <c r="A22" s="95" t="str">
        <f t="shared" si="1"/>
        <v>1g</v>
      </c>
      <c r="B22" s="218"/>
      <c r="C22" s="228"/>
      <c r="D22" s="215"/>
      <c r="E22" s="77" t="s">
        <v>53</v>
      </c>
      <c r="F22" s="79" t="s">
        <v>54</v>
      </c>
      <c r="G22" s="105" t="s">
        <v>36</v>
      </c>
      <c r="H22" s="107" t="s">
        <v>55</v>
      </c>
      <c r="I22" s="100" t="str">
        <f t="shared" si="2"/>
        <v>Mantenimiento del control</v>
      </c>
      <c r="J22" s="99">
        <f t="shared" si="0"/>
        <v>20</v>
      </c>
      <c r="K22" s="97">
        <v>0.12345678910000001</v>
      </c>
      <c r="L22" s="97">
        <f t="shared" si="3"/>
        <v>20.1234567891</v>
      </c>
    </row>
    <row r="23" spans="1:32" s="46" customFormat="1" ht="103.5" customHeight="1">
      <c r="A23" s="95" t="str">
        <f t="shared" si="1"/>
        <v>1h</v>
      </c>
      <c r="B23" s="218"/>
      <c r="C23" s="228"/>
      <c r="D23" s="215"/>
      <c r="E23" s="77" t="s">
        <v>56</v>
      </c>
      <c r="F23" s="79" t="s">
        <v>57</v>
      </c>
      <c r="G23" s="105" t="s">
        <v>36</v>
      </c>
      <c r="H23" s="107" t="s">
        <v>58</v>
      </c>
      <c r="I23" s="100" t="str">
        <f t="shared" si="2"/>
        <v>Mantenimiento del control</v>
      </c>
      <c r="J23" s="99">
        <f t="shared" si="0"/>
        <v>20</v>
      </c>
      <c r="K23" s="97">
        <v>0.12345678911999999</v>
      </c>
      <c r="L23" s="97">
        <f t="shared" si="3"/>
        <v>20.123456789119999</v>
      </c>
    </row>
    <row r="24" spans="1:32" s="46" customFormat="1" ht="99">
      <c r="A24" s="95" t="str">
        <f t="shared" si="1"/>
        <v>1i</v>
      </c>
      <c r="B24" s="218"/>
      <c r="C24" s="228"/>
      <c r="D24" s="215"/>
      <c r="E24" s="77" t="s">
        <v>59</v>
      </c>
      <c r="F24" s="79" t="s">
        <v>60</v>
      </c>
      <c r="G24" s="105" t="s">
        <v>36</v>
      </c>
      <c r="H24" s="107" t="s">
        <v>61</v>
      </c>
      <c r="I24" s="100" t="str">
        <f t="shared" si="2"/>
        <v>Mantenimiento del control</v>
      </c>
      <c r="J24" s="99">
        <f t="shared" si="0"/>
        <v>20</v>
      </c>
      <c r="K24" s="97">
        <v>0.123456789123</v>
      </c>
      <c r="L24" s="97">
        <f t="shared" si="3"/>
        <v>20.123456789123001</v>
      </c>
    </row>
    <row r="25" spans="1:32" s="46" customFormat="1" ht="165">
      <c r="A25" s="95" t="str">
        <f t="shared" si="1"/>
        <v>1j</v>
      </c>
      <c r="B25" s="218"/>
      <c r="C25" s="228"/>
      <c r="D25" s="215"/>
      <c r="E25" s="77" t="s">
        <v>62</v>
      </c>
      <c r="F25" s="79" t="s">
        <v>63</v>
      </c>
      <c r="G25" s="105" t="s">
        <v>36</v>
      </c>
      <c r="H25" s="107" t="s">
        <v>64</v>
      </c>
      <c r="I25" s="100" t="str">
        <f t="shared" si="2"/>
        <v>Mantenimiento del control</v>
      </c>
      <c r="J25" s="99">
        <f t="shared" si="0"/>
        <v>20</v>
      </c>
      <c r="K25" s="97">
        <v>0.1234567891234</v>
      </c>
      <c r="L25" s="97">
        <f t="shared" si="3"/>
        <v>20.123456789123399</v>
      </c>
    </row>
    <row r="26" spans="1:32" s="46" customFormat="1" ht="197.25">
      <c r="A26" s="95" t="str">
        <f t="shared" si="1"/>
        <v>1k</v>
      </c>
      <c r="B26" s="218"/>
      <c r="C26" s="228"/>
      <c r="D26" s="215"/>
      <c r="E26" s="77" t="s">
        <v>65</v>
      </c>
      <c r="F26" s="79" t="s">
        <v>66</v>
      </c>
      <c r="G26" s="105" t="s">
        <v>36</v>
      </c>
      <c r="H26" s="107" t="s">
        <v>67</v>
      </c>
      <c r="I26" s="100" t="str">
        <f t="shared" si="2"/>
        <v>Mantenimiento del control</v>
      </c>
      <c r="J26" s="99">
        <f t="shared" si="0"/>
        <v>20</v>
      </c>
      <c r="K26" s="97">
        <v>0.12345678912345</v>
      </c>
      <c r="L26" s="97">
        <f t="shared" si="3"/>
        <v>20.123456789123448</v>
      </c>
    </row>
    <row r="27" spans="1:32" s="46" customFormat="1" ht="99">
      <c r="A27" s="95" t="str">
        <f t="shared" si="1"/>
        <v>1l</v>
      </c>
      <c r="B27" s="219"/>
      <c r="C27" s="229"/>
      <c r="D27" s="216"/>
      <c r="E27" s="80" t="s">
        <v>68</v>
      </c>
      <c r="F27" s="81" t="s">
        <v>69</v>
      </c>
      <c r="G27" s="108" t="s">
        <v>36</v>
      </c>
      <c r="H27" s="109" t="s">
        <v>70</v>
      </c>
      <c r="I27" s="101" t="str">
        <f t="shared" si="2"/>
        <v>Mantenimiento del control</v>
      </c>
      <c r="J27" s="99">
        <f t="shared" si="0"/>
        <v>20</v>
      </c>
      <c r="K27" s="97">
        <v>0.12345678912345601</v>
      </c>
      <c r="L27" s="97">
        <f t="shared" si="3"/>
        <v>20.123456789123455</v>
      </c>
    </row>
    <row r="28" spans="1:32" s="46" customFormat="1" ht="197.25">
      <c r="A28" s="95" t="str">
        <f>2&amp;E28</f>
        <v>2a</v>
      </c>
      <c r="B28" s="220" t="s">
        <v>71</v>
      </c>
      <c r="C28" s="230" t="s">
        <v>72</v>
      </c>
      <c r="D28" s="223" t="s">
        <v>73</v>
      </c>
      <c r="E28" s="75" t="s">
        <v>34</v>
      </c>
      <c r="F28" s="76" t="s">
        <v>74</v>
      </c>
      <c r="G28" s="103" t="s">
        <v>36</v>
      </c>
      <c r="H28" s="104" t="s">
        <v>75</v>
      </c>
      <c r="I28" s="96" t="str">
        <f t="shared" si="2"/>
        <v>Mantenimiento del control</v>
      </c>
      <c r="J28" s="97">
        <f>+IF(G28="Si",40,IF(G28="En proceso",30,20))</f>
        <v>40</v>
      </c>
      <c r="K28" s="97">
        <v>0.23</v>
      </c>
      <c r="L28" s="97">
        <f t="shared" si="3"/>
        <v>40.229999999999997</v>
      </c>
    </row>
    <row r="29" spans="1:32" s="46" customFormat="1" ht="148.5">
      <c r="A29" s="95" t="str">
        <f t="shared" ref="A29:A31" si="4">2&amp;E29</f>
        <v>2b</v>
      </c>
      <c r="B29" s="221"/>
      <c r="C29" s="231"/>
      <c r="D29" s="224"/>
      <c r="E29" s="77" t="s">
        <v>38</v>
      </c>
      <c r="F29" s="152" t="s">
        <v>76</v>
      </c>
      <c r="G29" s="105" t="s">
        <v>36</v>
      </c>
      <c r="H29" s="107" t="s">
        <v>77</v>
      </c>
      <c r="I29" s="100" t="str">
        <f t="shared" si="2"/>
        <v>Mantenimiento del control</v>
      </c>
      <c r="J29" s="97">
        <f>+IF(G29="Si",40,IF(G29="En proceso",30,20))</f>
        <v>40</v>
      </c>
      <c r="K29" s="97">
        <v>0.23400000000000001</v>
      </c>
      <c r="L29" s="97">
        <f t="shared" si="3"/>
        <v>40.234000000000002</v>
      </c>
    </row>
    <row r="30" spans="1:32" s="46" customFormat="1" ht="115.5">
      <c r="A30" s="95" t="str">
        <f t="shared" si="4"/>
        <v>2c</v>
      </c>
      <c r="B30" s="221"/>
      <c r="C30" s="231"/>
      <c r="D30" s="224"/>
      <c r="E30" s="77" t="s">
        <v>41</v>
      </c>
      <c r="F30" s="79" t="s">
        <v>78</v>
      </c>
      <c r="G30" s="105" t="s">
        <v>36</v>
      </c>
      <c r="H30" s="107" t="s">
        <v>79</v>
      </c>
      <c r="I30" s="100" t="str">
        <f t="shared" si="2"/>
        <v>Mantenimiento del control</v>
      </c>
      <c r="J30" s="97">
        <f>+IF(G30="Si",40,IF(G30="En proceso",30,20))</f>
        <v>40</v>
      </c>
      <c r="K30" s="97">
        <v>0.23449999999999999</v>
      </c>
      <c r="L30" s="97">
        <f t="shared" si="3"/>
        <v>40.234499999999997</v>
      </c>
    </row>
    <row r="31" spans="1:32" s="46" customFormat="1" ht="82.5">
      <c r="A31" s="95" t="str">
        <f t="shared" si="4"/>
        <v>2d</v>
      </c>
      <c r="B31" s="222"/>
      <c r="C31" s="232"/>
      <c r="D31" s="225"/>
      <c r="E31" s="80" t="s">
        <v>44</v>
      </c>
      <c r="F31" s="81" t="s">
        <v>80</v>
      </c>
      <c r="G31" s="108" t="s">
        <v>36</v>
      </c>
      <c r="H31" s="109" t="s">
        <v>81</v>
      </c>
      <c r="I31" s="101" t="str">
        <f t="shared" si="2"/>
        <v>Mantenimiento del control</v>
      </c>
      <c r="J31" s="97">
        <f>+IF(G31="Si",40,IF(G31="En proceso",30,20))</f>
        <v>40</v>
      </c>
      <c r="K31" s="97">
        <v>0.23455999999999999</v>
      </c>
      <c r="L31" s="97">
        <f t="shared" si="3"/>
        <v>40.234560000000002</v>
      </c>
    </row>
    <row r="32" spans="1:32" s="46" customFormat="1" ht="138.75" customHeight="1">
      <c r="A32" s="95" t="str">
        <f>3&amp;E32</f>
        <v>3a</v>
      </c>
      <c r="B32" s="242" t="s">
        <v>82</v>
      </c>
      <c r="C32" s="242" t="s">
        <v>72</v>
      </c>
      <c r="D32" s="243" t="s">
        <v>83</v>
      </c>
      <c r="E32" s="77" t="s">
        <v>34</v>
      </c>
      <c r="F32" s="79" t="s">
        <v>84</v>
      </c>
      <c r="G32" s="105" t="s">
        <v>36</v>
      </c>
      <c r="H32" s="107" t="s">
        <v>85</v>
      </c>
      <c r="I32" s="100" t="str">
        <f t="shared" si="2"/>
        <v>Mantenimiento del control</v>
      </c>
      <c r="J32" s="97">
        <f t="shared" ref="J32:J37" si="5">+IF(G32="Si",40,IF(G32="En proceso",30,20))</f>
        <v>40</v>
      </c>
      <c r="K32" s="102">
        <v>0.234567</v>
      </c>
      <c r="L32" s="97">
        <f t="shared" ref="L32:L37" si="6">+J32+K32</f>
        <v>40.234566999999998</v>
      </c>
      <c r="M32" s="45"/>
      <c r="N32" s="45"/>
      <c r="O32" s="45"/>
      <c r="P32" s="45"/>
      <c r="Q32" s="45"/>
      <c r="R32" s="45"/>
      <c r="S32" s="45"/>
      <c r="T32" s="45"/>
      <c r="U32" s="45"/>
      <c r="V32" s="45"/>
      <c r="W32" s="45"/>
      <c r="X32" s="45"/>
      <c r="Y32" s="45"/>
      <c r="Z32" s="45"/>
      <c r="AA32" s="45"/>
      <c r="AB32" s="45"/>
      <c r="AC32" s="45"/>
      <c r="AD32" s="45"/>
      <c r="AE32" s="45"/>
      <c r="AF32" s="45"/>
    </row>
    <row r="33" spans="1:32" s="46" customFormat="1" ht="99">
      <c r="A33" s="95" t="str">
        <f t="shared" ref="A33:A34" si="7">3&amp;E33</f>
        <v>3b</v>
      </c>
      <c r="B33" s="242"/>
      <c r="C33" s="242"/>
      <c r="D33" s="243"/>
      <c r="E33" s="77" t="s">
        <v>38</v>
      </c>
      <c r="F33" s="79" t="s">
        <v>86</v>
      </c>
      <c r="G33" s="105" t="s">
        <v>36</v>
      </c>
      <c r="H33" s="107" t="s">
        <v>87</v>
      </c>
      <c r="I33" s="100" t="str">
        <f t="shared" si="2"/>
        <v>Mantenimiento del control</v>
      </c>
      <c r="J33" s="97">
        <f t="shared" si="5"/>
        <v>40</v>
      </c>
      <c r="K33" s="102">
        <v>0.23456779999999999</v>
      </c>
      <c r="L33" s="97">
        <f t="shared" si="6"/>
        <v>40.234567800000001</v>
      </c>
      <c r="M33" s="45"/>
      <c r="N33" s="45"/>
      <c r="O33" s="45"/>
      <c r="P33" s="45"/>
      <c r="Q33" s="45"/>
      <c r="R33" s="45"/>
      <c r="S33" s="45"/>
      <c r="T33" s="45"/>
      <c r="U33" s="45"/>
      <c r="V33" s="45"/>
      <c r="W33" s="45"/>
      <c r="X33" s="45"/>
      <c r="Y33" s="45"/>
      <c r="Z33" s="45"/>
      <c r="AA33" s="45"/>
      <c r="AB33" s="45"/>
      <c r="AC33" s="45"/>
      <c r="AD33" s="45"/>
      <c r="AE33" s="45"/>
      <c r="AF33" s="45"/>
    </row>
    <row r="34" spans="1:32" s="46" customFormat="1" ht="99" thickBot="1">
      <c r="A34" s="95" t="str">
        <f t="shared" si="7"/>
        <v>3c</v>
      </c>
      <c r="B34" s="242"/>
      <c r="C34" s="242"/>
      <c r="D34" s="243"/>
      <c r="E34" s="77" t="s">
        <v>41</v>
      </c>
      <c r="F34" s="79" t="s">
        <v>88</v>
      </c>
      <c r="G34" s="105" t="s">
        <v>36</v>
      </c>
      <c r="H34" s="107" t="s">
        <v>89</v>
      </c>
      <c r="I34" s="100" t="str">
        <f t="shared" si="2"/>
        <v>Mantenimiento del control</v>
      </c>
      <c r="J34" s="97">
        <f t="shared" si="5"/>
        <v>40</v>
      </c>
      <c r="K34" s="102">
        <v>0.23456789</v>
      </c>
      <c r="L34" s="97">
        <f t="shared" si="6"/>
        <v>40.234567890000001</v>
      </c>
      <c r="M34" s="45"/>
      <c r="N34" s="45"/>
      <c r="O34" s="45"/>
      <c r="P34" s="45"/>
      <c r="Q34" s="45"/>
      <c r="R34" s="45"/>
      <c r="S34" s="45"/>
      <c r="T34" s="45"/>
      <c r="U34" s="45"/>
      <c r="V34" s="45"/>
      <c r="W34" s="45"/>
      <c r="X34" s="45"/>
      <c r="Y34" s="45"/>
      <c r="Z34" s="45"/>
      <c r="AA34" s="45"/>
      <c r="AB34" s="45"/>
      <c r="AC34" s="45"/>
      <c r="AD34" s="45"/>
      <c r="AE34" s="45"/>
      <c r="AF34" s="45"/>
    </row>
    <row r="35" spans="1:32" s="46" customFormat="1" ht="132">
      <c r="A35" s="95" t="str">
        <f>4&amp;E35</f>
        <v>4a</v>
      </c>
      <c r="B35" s="244" t="s">
        <v>90</v>
      </c>
      <c r="C35" s="231" t="s">
        <v>72</v>
      </c>
      <c r="D35" s="224" t="s">
        <v>91</v>
      </c>
      <c r="E35" s="75" t="s">
        <v>34</v>
      </c>
      <c r="F35" s="76" t="s">
        <v>92</v>
      </c>
      <c r="G35" s="103" t="s">
        <v>36</v>
      </c>
      <c r="H35" s="104" t="s">
        <v>93</v>
      </c>
      <c r="I35" s="96" t="str">
        <f t="shared" si="2"/>
        <v>Mantenimiento del control</v>
      </c>
      <c r="J35" s="97">
        <f t="shared" si="5"/>
        <v>40</v>
      </c>
      <c r="K35" s="102">
        <v>0.23456789119999999</v>
      </c>
      <c r="L35" s="97">
        <f t="shared" si="6"/>
        <v>40.234567891200001</v>
      </c>
      <c r="M35" s="45"/>
      <c r="N35" s="45"/>
      <c r="O35" s="45"/>
      <c r="P35" s="45"/>
      <c r="Q35" s="45"/>
    </row>
    <row r="36" spans="1:32" s="46" customFormat="1" ht="100.5" customHeight="1">
      <c r="A36" s="95" t="str">
        <f t="shared" ref="A36:A37" si="8">4&amp;E36</f>
        <v>4b</v>
      </c>
      <c r="B36" s="244"/>
      <c r="C36" s="231"/>
      <c r="D36" s="224"/>
      <c r="E36" s="77" t="s">
        <v>38</v>
      </c>
      <c r="F36" s="79" t="s">
        <v>94</v>
      </c>
      <c r="G36" s="105" t="s">
        <v>36</v>
      </c>
      <c r="H36" s="107" t="s">
        <v>95</v>
      </c>
      <c r="I36" s="100" t="str">
        <f t="shared" si="2"/>
        <v>Mantenimiento del control</v>
      </c>
      <c r="J36" s="97">
        <f t="shared" si="5"/>
        <v>40</v>
      </c>
      <c r="K36" s="102">
        <v>0.23456789122999999</v>
      </c>
      <c r="L36" s="97">
        <f t="shared" si="6"/>
        <v>40.23456789123</v>
      </c>
      <c r="M36" s="45"/>
      <c r="N36" s="45"/>
      <c r="O36" s="45"/>
      <c r="P36" s="45"/>
      <c r="Q36" s="45"/>
    </row>
    <row r="37" spans="1:32" s="46" customFormat="1" ht="99">
      <c r="A37" s="95" t="str">
        <f t="shared" si="8"/>
        <v>4c</v>
      </c>
      <c r="B37" s="244"/>
      <c r="C37" s="231"/>
      <c r="D37" s="224"/>
      <c r="E37" s="77" t="s">
        <v>41</v>
      </c>
      <c r="F37" s="79" t="s">
        <v>96</v>
      </c>
      <c r="G37" s="105" t="s">
        <v>36</v>
      </c>
      <c r="H37" s="107" t="s">
        <v>97</v>
      </c>
      <c r="I37" s="100" t="str">
        <f t="shared" si="2"/>
        <v>Mantenimiento del control</v>
      </c>
      <c r="J37" s="97">
        <f t="shared" si="5"/>
        <v>40</v>
      </c>
      <c r="K37" s="102">
        <v>0.23456789123399999</v>
      </c>
      <c r="L37" s="97">
        <f t="shared" si="6"/>
        <v>40.234567891234001</v>
      </c>
      <c r="M37" s="45"/>
      <c r="N37" s="45"/>
      <c r="O37" s="45"/>
      <c r="P37" s="45"/>
      <c r="Q37" s="45"/>
    </row>
    <row r="38" spans="1:32" s="46" customFormat="1" ht="85.5" customHeight="1">
      <c r="A38" s="95" t="str">
        <f>5&amp;E38</f>
        <v>5a</v>
      </c>
      <c r="B38" s="245" t="s">
        <v>98</v>
      </c>
      <c r="C38" s="233" t="s">
        <v>99</v>
      </c>
      <c r="D38" s="248" t="s">
        <v>100</v>
      </c>
      <c r="E38" s="75" t="s">
        <v>34</v>
      </c>
      <c r="F38" s="76" t="s">
        <v>101</v>
      </c>
      <c r="G38" s="103" t="s">
        <v>36</v>
      </c>
      <c r="H38" s="104" t="s">
        <v>102</v>
      </c>
      <c r="I38" s="96" t="str">
        <f t="shared" si="2"/>
        <v>Mantenimiento del control</v>
      </c>
      <c r="J38" s="97">
        <f>+IF(G38="Si",60,IF(G38="En proceso",50,40))</f>
        <v>60</v>
      </c>
      <c r="K38" s="97">
        <v>0.31</v>
      </c>
      <c r="L38" s="97">
        <f t="shared" si="3"/>
        <v>60.31</v>
      </c>
    </row>
    <row r="39" spans="1:32" s="46" customFormat="1" ht="99">
      <c r="A39" s="95" t="str">
        <f t="shared" ref="A39:A42" si="9">5&amp;E39</f>
        <v>5b</v>
      </c>
      <c r="B39" s="246"/>
      <c r="C39" s="234"/>
      <c r="D39" s="249"/>
      <c r="E39" s="77" t="s">
        <v>38</v>
      </c>
      <c r="F39" s="79" t="s">
        <v>103</v>
      </c>
      <c r="G39" s="105" t="s">
        <v>36</v>
      </c>
      <c r="H39" s="107" t="s">
        <v>104</v>
      </c>
      <c r="I39" s="100" t="str">
        <f t="shared" si="2"/>
        <v>Mantenimiento del control</v>
      </c>
      <c r="J39" s="97">
        <f>+IF(G39="Si",60,IF(G39="En proceso",50,40))</f>
        <v>60</v>
      </c>
      <c r="K39" s="97">
        <v>0.32300000000000001</v>
      </c>
      <c r="L39" s="97">
        <f t="shared" si="3"/>
        <v>60.323</v>
      </c>
    </row>
    <row r="40" spans="1:32" s="46" customFormat="1" ht="148.5">
      <c r="A40" s="95" t="str">
        <f t="shared" si="9"/>
        <v>5c</v>
      </c>
      <c r="B40" s="246"/>
      <c r="C40" s="234"/>
      <c r="D40" s="249"/>
      <c r="E40" s="77" t="s">
        <v>41</v>
      </c>
      <c r="F40" s="79" t="s">
        <v>105</v>
      </c>
      <c r="G40" s="105" t="s">
        <v>36</v>
      </c>
      <c r="H40" s="107" t="s">
        <v>106</v>
      </c>
      <c r="I40" s="100" t="str">
        <f t="shared" si="2"/>
        <v>Mantenimiento del control</v>
      </c>
      <c r="J40" s="97">
        <f>+IF(G40="Si",60,IF(G40="En proceso",50,40))</f>
        <v>60</v>
      </c>
      <c r="K40" s="97">
        <v>0.32400000000000001</v>
      </c>
      <c r="L40" s="97">
        <f t="shared" si="3"/>
        <v>60.323999999999998</v>
      </c>
    </row>
    <row r="41" spans="1:32" s="46" customFormat="1" ht="117">
      <c r="A41" s="95" t="str">
        <f t="shared" si="9"/>
        <v>5d</v>
      </c>
      <c r="B41" s="246"/>
      <c r="C41" s="234"/>
      <c r="D41" s="249"/>
      <c r="E41" s="77" t="s">
        <v>44</v>
      </c>
      <c r="F41" s="79" t="s">
        <v>107</v>
      </c>
      <c r="G41" s="105" t="s">
        <v>36</v>
      </c>
      <c r="H41" s="107" t="s">
        <v>108</v>
      </c>
      <c r="I41" s="100" t="str">
        <f t="shared" si="2"/>
        <v>Mantenimiento del control</v>
      </c>
      <c r="J41" s="97">
        <f>+IF(G41="Si",60,IF(G41="En proceso",50,40))</f>
        <v>60</v>
      </c>
      <c r="K41" s="97">
        <v>0.32500000000000001</v>
      </c>
      <c r="L41" s="97">
        <f t="shared" si="3"/>
        <v>60.325000000000003</v>
      </c>
    </row>
    <row r="42" spans="1:32" s="46" customFormat="1" ht="99">
      <c r="A42" s="95" t="str">
        <f t="shared" si="9"/>
        <v>5e</v>
      </c>
      <c r="B42" s="247"/>
      <c r="C42" s="235"/>
      <c r="D42" s="250"/>
      <c r="E42" s="80" t="s">
        <v>47</v>
      </c>
      <c r="F42" s="81" t="s">
        <v>109</v>
      </c>
      <c r="G42" s="108" t="s">
        <v>36</v>
      </c>
      <c r="H42" s="109" t="s">
        <v>110</v>
      </c>
      <c r="I42" s="101" t="str">
        <f t="shared" si="2"/>
        <v>Mantenimiento del control</v>
      </c>
      <c r="J42" s="97">
        <f>+IF(G42="Si",60,IF(G42="En proceso",50,40))</f>
        <v>60</v>
      </c>
      <c r="K42" s="97">
        <v>0.32600000000000001</v>
      </c>
      <c r="L42" s="97">
        <f t="shared" si="3"/>
        <v>60.326000000000001</v>
      </c>
    </row>
    <row r="43" spans="1:32" s="46" customFormat="1" ht="40.5" customHeight="1">
      <c r="A43" s="95" t="str">
        <f>6&amp;E43</f>
        <v>6a</v>
      </c>
      <c r="B43" s="205" t="s">
        <v>111</v>
      </c>
      <c r="C43" s="236" t="s">
        <v>112</v>
      </c>
      <c r="D43" s="202" t="s">
        <v>113</v>
      </c>
      <c r="E43" s="75" t="s">
        <v>34</v>
      </c>
      <c r="F43" s="76" t="s">
        <v>114</v>
      </c>
      <c r="G43" s="103" t="s">
        <v>36</v>
      </c>
      <c r="H43" s="104" t="s">
        <v>115</v>
      </c>
      <c r="I43" s="96" t="str">
        <f t="shared" si="2"/>
        <v>Mantenimiento del control</v>
      </c>
      <c r="J43" s="97">
        <f t="shared" ref="J43:J49" si="10">+IF(G43="Si",80,IF(G43="En proceso",70,60))</f>
        <v>80</v>
      </c>
      <c r="K43" s="97">
        <v>0.41199999999999998</v>
      </c>
      <c r="L43" s="97">
        <f t="shared" si="3"/>
        <v>80.412000000000006</v>
      </c>
    </row>
    <row r="44" spans="1:32" s="46" customFormat="1" ht="99">
      <c r="A44" s="95" t="str">
        <f t="shared" ref="A44:A49" si="11">6&amp;E44</f>
        <v>6b</v>
      </c>
      <c r="B44" s="206"/>
      <c r="C44" s="237"/>
      <c r="D44" s="203"/>
      <c r="E44" s="77" t="s">
        <v>38</v>
      </c>
      <c r="F44" s="79" t="s">
        <v>116</v>
      </c>
      <c r="G44" s="105" t="s">
        <v>36</v>
      </c>
      <c r="H44" s="107" t="s">
        <v>117</v>
      </c>
      <c r="I44" s="100" t="str">
        <f t="shared" si="2"/>
        <v>Mantenimiento del control</v>
      </c>
      <c r="J44" s="97">
        <f t="shared" si="10"/>
        <v>80</v>
      </c>
      <c r="K44" s="97">
        <v>0.4123</v>
      </c>
      <c r="L44" s="97">
        <f t="shared" si="3"/>
        <v>80.412300000000002</v>
      </c>
    </row>
    <row r="45" spans="1:32" s="46" customFormat="1" ht="99">
      <c r="A45" s="95" t="str">
        <f t="shared" si="11"/>
        <v>6c</v>
      </c>
      <c r="B45" s="206"/>
      <c r="C45" s="237"/>
      <c r="D45" s="203"/>
      <c r="E45" s="77" t="s">
        <v>41</v>
      </c>
      <c r="F45" s="79" t="s">
        <v>118</v>
      </c>
      <c r="G45" s="105" t="s">
        <v>36</v>
      </c>
      <c r="H45" s="107" t="s">
        <v>119</v>
      </c>
      <c r="I45" s="100" t="str">
        <f t="shared" si="2"/>
        <v>Mantenimiento del control</v>
      </c>
      <c r="J45" s="97">
        <f t="shared" si="10"/>
        <v>80</v>
      </c>
      <c r="K45" s="97">
        <v>0.41233999999999998</v>
      </c>
      <c r="L45" s="97">
        <f t="shared" si="3"/>
        <v>80.41234</v>
      </c>
    </row>
    <row r="46" spans="1:32" s="46" customFormat="1" ht="99">
      <c r="A46" s="95" t="str">
        <f t="shared" si="11"/>
        <v>6d</v>
      </c>
      <c r="B46" s="206"/>
      <c r="C46" s="237"/>
      <c r="D46" s="203"/>
      <c r="E46" s="77" t="s">
        <v>44</v>
      </c>
      <c r="F46" s="79" t="s">
        <v>120</v>
      </c>
      <c r="G46" s="105" t="s">
        <v>36</v>
      </c>
      <c r="H46" s="107" t="s">
        <v>121</v>
      </c>
      <c r="I46" s="100" t="str">
        <f t="shared" si="2"/>
        <v>Mantenimiento del control</v>
      </c>
      <c r="J46" s="97">
        <f t="shared" si="10"/>
        <v>80</v>
      </c>
      <c r="K46" s="97">
        <v>0.41234500000000002</v>
      </c>
      <c r="L46" s="97">
        <f t="shared" si="3"/>
        <v>80.412345000000002</v>
      </c>
    </row>
    <row r="47" spans="1:32" s="46" customFormat="1" ht="115.5">
      <c r="A47" s="95" t="str">
        <f t="shared" si="11"/>
        <v>6e</v>
      </c>
      <c r="B47" s="206"/>
      <c r="C47" s="237"/>
      <c r="D47" s="203"/>
      <c r="E47" s="77" t="s">
        <v>47</v>
      </c>
      <c r="F47" s="79" t="s">
        <v>122</v>
      </c>
      <c r="G47" s="105" t="s">
        <v>36</v>
      </c>
      <c r="H47" s="107" t="s">
        <v>123</v>
      </c>
      <c r="I47" s="100" t="str">
        <f t="shared" si="2"/>
        <v>Mantenimiento del control</v>
      </c>
      <c r="J47" s="97">
        <f t="shared" si="10"/>
        <v>80</v>
      </c>
      <c r="K47" s="97">
        <v>0.41234559999999998</v>
      </c>
      <c r="L47" s="97">
        <f t="shared" si="3"/>
        <v>80.412345599999995</v>
      </c>
    </row>
    <row r="48" spans="1:32" s="46" customFormat="1" ht="83.45" customHeight="1">
      <c r="A48" s="95" t="str">
        <f t="shared" si="11"/>
        <v>6f</v>
      </c>
      <c r="B48" s="206"/>
      <c r="C48" s="237"/>
      <c r="D48" s="203"/>
      <c r="E48" s="77" t="s">
        <v>50</v>
      </c>
      <c r="F48" s="79" t="s">
        <v>124</v>
      </c>
      <c r="G48" s="105" t="s">
        <v>36</v>
      </c>
      <c r="H48" s="107" t="s">
        <v>125</v>
      </c>
      <c r="I48" s="100" t="str">
        <f t="shared" si="2"/>
        <v>Mantenimiento del control</v>
      </c>
      <c r="J48" s="97">
        <f t="shared" si="10"/>
        <v>80</v>
      </c>
      <c r="K48" s="97">
        <v>0.41234567</v>
      </c>
      <c r="L48" s="97">
        <f t="shared" si="3"/>
        <v>80.412345669999993</v>
      </c>
    </row>
    <row r="49" spans="1:17" s="46" customFormat="1" ht="55.9" thickBot="1">
      <c r="A49" s="95" t="str">
        <f t="shared" si="11"/>
        <v>6g</v>
      </c>
      <c r="B49" s="207"/>
      <c r="C49" s="238"/>
      <c r="D49" s="204"/>
      <c r="E49" s="80" t="s">
        <v>53</v>
      </c>
      <c r="F49" s="81" t="s">
        <v>126</v>
      </c>
      <c r="G49" s="108" t="s">
        <v>36</v>
      </c>
      <c r="H49" s="109" t="s">
        <v>127</v>
      </c>
      <c r="I49" s="101" t="str">
        <f t="shared" si="2"/>
        <v>Mantenimiento del control</v>
      </c>
      <c r="J49" s="97">
        <f t="shared" si="10"/>
        <v>80</v>
      </c>
      <c r="K49" s="97">
        <v>0.41234567799999999</v>
      </c>
      <c r="L49" s="97">
        <f t="shared" si="3"/>
        <v>80.412345677999994</v>
      </c>
    </row>
    <row r="50" spans="1:17" s="46" customFormat="1" ht="54.75" customHeight="1">
      <c r="A50" s="95" t="str">
        <f>7&amp;E50</f>
        <v>7a</v>
      </c>
      <c r="B50" s="211" t="s">
        <v>128</v>
      </c>
      <c r="C50" s="239" t="s">
        <v>129</v>
      </c>
      <c r="D50" s="208" t="s">
        <v>130</v>
      </c>
      <c r="E50" s="75" t="s">
        <v>34</v>
      </c>
      <c r="F50" s="76" t="s">
        <v>131</v>
      </c>
      <c r="G50" s="103" t="s">
        <v>36</v>
      </c>
      <c r="H50" s="104" t="s">
        <v>132</v>
      </c>
      <c r="I50" s="96" t="str">
        <f t="shared" si="2"/>
        <v>Mantenimiento del control</v>
      </c>
      <c r="J50" s="97">
        <f>+IF(G50="Si",120,IF(G50="En proceso",100,80))</f>
        <v>120</v>
      </c>
      <c r="K50" s="97">
        <v>0.85099999999999998</v>
      </c>
      <c r="L50" s="97">
        <f t="shared" si="3"/>
        <v>120.851</v>
      </c>
    </row>
    <row r="51" spans="1:17" s="46" customFormat="1" ht="117">
      <c r="A51" s="95" t="str">
        <f t="shared" ref="A51:A53" si="12">7&amp;E51</f>
        <v>7d</v>
      </c>
      <c r="B51" s="212"/>
      <c r="C51" s="240"/>
      <c r="D51" s="209"/>
      <c r="E51" s="77" t="s">
        <v>44</v>
      </c>
      <c r="F51" s="79" t="s">
        <v>133</v>
      </c>
      <c r="G51" s="105" t="s">
        <v>36</v>
      </c>
      <c r="H51" s="107" t="s">
        <v>134</v>
      </c>
      <c r="I51" s="100" t="str">
        <f t="shared" si="2"/>
        <v>Mantenimiento del control</v>
      </c>
      <c r="J51" s="97">
        <f t="shared" ref="J51:J59" si="13">+IF(G51="Si",120,IF(G51="En proceso",100,80))</f>
        <v>120</v>
      </c>
      <c r="K51" s="97">
        <v>0.85119999999999996</v>
      </c>
      <c r="L51" s="97">
        <f t="shared" si="3"/>
        <v>120.85120000000001</v>
      </c>
    </row>
    <row r="52" spans="1:17" s="46" customFormat="1" ht="99">
      <c r="A52" s="95" t="str">
        <f t="shared" si="12"/>
        <v>7f</v>
      </c>
      <c r="B52" s="212"/>
      <c r="C52" s="240"/>
      <c r="D52" s="209"/>
      <c r="E52" s="77" t="s">
        <v>50</v>
      </c>
      <c r="F52" s="79" t="s">
        <v>135</v>
      </c>
      <c r="G52" s="105" t="s">
        <v>36</v>
      </c>
      <c r="H52" s="107" t="s">
        <v>136</v>
      </c>
      <c r="I52" s="100" t="str">
        <f t="shared" si="2"/>
        <v>Mantenimiento del control</v>
      </c>
      <c r="J52" s="97">
        <f t="shared" si="13"/>
        <v>120</v>
      </c>
      <c r="K52" s="97">
        <v>0.85123000000000004</v>
      </c>
      <c r="L52" s="97">
        <f t="shared" si="3"/>
        <v>120.85123</v>
      </c>
    </row>
    <row r="53" spans="1:17" s="46" customFormat="1" ht="132">
      <c r="A53" s="95" t="str">
        <f t="shared" si="12"/>
        <v>7g</v>
      </c>
      <c r="B53" s="213"/>
      <c r="C53" s="241"/>
      <c r="D53" s="210"/>
      <c r="E53" s="80" t="s">
        <v>53</v>
      </c>
      <c r="F53" s="81" t="s">
        <v>137</v>
      </c>
      <c r="G53" s="108" t="s">
        <v>36</v>
      </c>
      <c r="H53" s="109" t="s">
        <v>138</v>
      </c>
      <c r="I53" s="101" t="str">
        <f t="shared" si="2"/>
        <v>Mantenimiento del control</v>
      </c>
      <c r="J53" s="97">
        <f t="shared" si="13"/>
        <v>120</v>
      </c>
      <c r="K53" s="97">
        <v>0.85123400000000005</v>
      </c>
      <c r="L53" s="97">
        <f t="shared" si="3"/>
        <v>120.85123400000001</v>
      </c>
    </row>
    <row r="54" spans="1:17" s="46" customFormat="1" ht="102.75" customHeight="1" thickBot="1">
      <c r="A54" s="95" t="str">
        <f>8&amp;E54</f>
        <v>8h</v>
      </c>
      <c r="B54" s="150" t="s">
        <v>139</v>
      </c>
      <c r="C54" s="151" t="s">
        <v>129</v>
      </c>
      <c r="D54" s="70" t="s">
        <v>140</v>
      </c>
      <c r="E54" s="75" t="s">
        <v>56</v>
      </c>
      <c r="F54" s="76" t="s">
        <v>141</v>
      </c>
      <c r="G54" s="103" t="s">
        <v>36</v>
      </c>
      <c r="H54" s="104" t="s">
        <v>142</v>
      </c>
      <c r="I54" s="96" t="str">
        <f t="shared" si="2"/>
        <v>Mantenimiento del control</v>
      </c>
      <c r="J54" s="97">
        <f t="shared" si="13"/>
        <v>120</v>
      </c>
      <c r="K54" s="97">
        <v>0.85123450000000001</v>
      </c>
      <c r="L54" s="97">
        <f t="shared" si="3"/>
        <v>120.8512345</v>
      </c>
    </row>
    <row r="55" spans="1:17" s="46" customFormat="1" ht="82.5">
      <c r="A55" s="95" t="str">
        <f>9&amp;E55</f>
        <v>9a</v>
      </c>
      <c r="B55" s="211" t="s">
        <v>143</v>
      </c>
      <c r="C55" s="239" t="s">
        <v>129</v>
      </c>
      <c r="D55" s="208" t="s">
        <v>144</v>
      </c>
      <c r="E55" s="75" t="s">
        <v>34</v>
      </c>
      <c r="F55" s="76" t="s">
        <v>145</v>
      </c>
      <c r="G55" s="103" t="s">
        <v>36</v>
      </c>
      <c r="H55" s="104" t="s">
        <v>146</v>
      </c>
      <c r="I55" s="96" t="str">
        <f t="shared" si="2"/>
        <v>Mantenimiento del control</v>
      </c>
      <c r="J55" s="97">
        <f t="shared" si="13"/>
        <v>120</v>
      </c>
      <c r="K55" s="102">
        <v>0.85123455999999997</v>
      </c>
      <c r="L55" s="97">
        <f t="shared" si="3"/>
        <v>120.85123455999999</v>
      </c>
      <c r="M55" s="45"/>
      <c r="N55" s="45"/>
      <c r="O55" s="45"/>
      <c r="P55" s="45"/>
      <c r="Q55" s="45"/>
    </row>
    <row r="56" spans="1:17" s="46" customFormat="1" ht="55.5" customHeight="1">
      <c r="A56" s="95" t="str">
        <f t="shared" ref="A56:A59" si="14">9&amp;E56</f>
        <v>9b</v>
      </c>
      <c r="B56" s="212"/>
      <c r="C56" s="240"/>
      <c r="D56" s="209"/>
      <c r="E56" s="77" t="s">
        <v>38</v>
      </c>
      <c r="F56" s="79" t="s">
        <v>147</v>
      </c>
      <c r="G56" s="105" t="s">
        <v>36</v>
      </c>
      <c r="H56" s="107" t="s">
        <v>148</v>
      </c>
      <c r="I56" s="100" t="str">
        <f t="shared" si="2"/>
        <v>Mantenimiento del control</v>
      </c>
      <c r="J56" s="97">
        <f t="shared" si="13"/>
        <v>120</v>
      </c>
      <c r="K56" s="102">
        <v>0.851234567</v>
      </c>
      <c r="L56" s="97">
        <f t="shared" si="3"/>
        <v>120.85123456700001</v>
      </c>
      <c r="M56" s="45"/>
      <c r="N56" s="45"/>
      <c r="O56" s="45"/>
      <c r="P56" s="45"/>
      <c r="Q56" s="45"/>
    </row>
    <row r="57" spans="1:17" s="46" customFormat="1" ht="77.25" customHeight="1">
      <c r="A57" s="95" t="str">
        <f t="shared" si="14"/>
        <v>9c</v>
      </c>
      <c r="B57" s="212"/>
      <c r="C57" s="240"/>
      <c r="D57" s="209"/>
      <c r="E57" s="77" t="s">
        <v>41</v>
      </c>
      <c r="F57" s="79" t="s">
        <v>149</v>
      </c>
      <c r="G57" s="105" t="s">
        <v>36</v>
      </c>
      <c r="H57" s="107" t="s">
        <v>150</v>
      </c>
      <c r="I57" s="100" t="str">
        <f t="shared" si="2"/>
        <v>Mantenimiento del control</v>
      </c>
      <c r="J57" s="97">
        <f t="shared" si="13"/>
        <v>120</v>
      </c>
      <c r="K57" s="102">
        <v>0.85123456779999995</v>
      </c>
      <c r="L57" s="97">
        <f t="shared" si="3"/>
        <v>120.85123456780001</v>
      </c>
      <c r="M57" s="45"/>
      <c r="N57" s="45"/>
      <c r="O57" s="45"/>
      <c r="P57" s="45"/>
      <c r="Q57" s="45"/>
    </row>
    <row r="58" spans="1:17" s="46" customFormat="1" ht="77.25" customHeight="1">
      <c r="A58" s="95" t="str">
        <f t="shared" si="14"/>
        <v>9d</v>
      </c>
      <c r="B58" s="212"/>
      <c r="C58" s="240"/>
      <c r="D58" s="209"/>
      <c r="E58" s="77" t="s">
        <v>44</v>
      </c>
      <c r="F58" s="79" t="s">
        <v>151</v>
      </c>
      <c r="G58" s="105" t="s">
        <v>36</v>
      </c>
      <c r="H58" s="107" t="s">
        <v>152</v>
      </c>
      <c r="I58" s="100" t="str">
        <f t="shared" si="2"/>
        <v>Mantenimiento del control</v>
      </c>
      <c r="J58" s="97">
        <f t="shared" si="13"/>
        <v>120</v>
      </c>
      <c r="K58" s="102">
        <v>0.85123456788999996</v>
      </c>
      <c r="L58" s="97">
        <f t="shared" si="3"/>
        <v>120.85123456789</v>
      </c>
      <c r="M58" s="45"/>
      <c r="N58" s="45"/>
      <c r="O58" s="45"/>
      <c r="P58" s="45"/>
      <c r="Q58" s="45"/>
    </row>
    <row r="59" spans="1:17" s="46" customFormat="1" ht="77.25" customHeight="1" thickBot="1">
      <c r="A59" s="95" t="str">
        <f t="shared" si="14"/>
        <v>9e</v>
      </c>
      <c r="B59" s="213"/>
      <c r="C59" s="240"/>
      <c r="D59" s="226"/>
      <c r="E59" s="80" t="s">
        <v>47</v>
      </c>
      <c r="F59" s="81" t="s">
        <v>153</v>
      </c>
      <c r="G59" s="108" t="s">
        <v>36</v>
      </c>
      <c r="H59" s="107" t="s">
        <v>154</v>
      </c>
      <c r="I59" s="101" t="str">
        <f t="shared" si="2"/>
        <v>Mantenimiento del control</v>
      </c>
      <c r="J59" s="97">
        <f t="shared" si="13"/>
        <v>120</v>
      </c>
      <c r="K59" s="102">
        <v>0.85123456789100005</v>
      </c>
      <c r="L59" s="97">
        <f t="shared" si="3"/>
        <v>120.851234567891</v>
      </c>
      <c r="M59" s="45"/>
      <c r="N59" s="45"/>
      <c r="O59" s="45"/>
      <c r="P59" s="45"/>
      <c r="Q59" s="45"/>
    </row>
  </sheetData>
  <sheetProtection algorithmName="SHA-512" hashValue="3f8q67IhQ+195mCCu45JxrnKZ5NQYpYn/4DMJ1qNlLoW+1h5DdlwjNz0RDsqicEeH5OxPhf5j92R5BAeBl6Iaw==" saltValue="5vY6GrPfNxnRatmVvJafnA==" spinCount="100000" sheet="1" objects="1" scenarios="1" formatCells="0" formatColumns="0" formatRows="0"/>
  <mergeCells count="25">
    <mergeCell ref="D55:D59"/>
    <mergeCell ref="B55:B59"/>
    <mergeCell ref="C16:C27"/>
    <mergeCell ref="C28:C31"/>
    <mergeCell ref="C38:C42"/>
    <mergeCell ref="C43:C49"/>
    <mergeCell ref="C50:C53"/>
    <mergeCell ref="C32:C34"/>
    <mergeCell ref="C35:C37"/>
    <mergeCell ref="C55:C59"/>
    <mergeCell ref="D32:D34"/>
    <mergeCell ref="B32:B34"/>
    <mergeCell ref="B35:B37"/>
    <mergeCell ref="D35:D37"/>
    <mergeCell ref="B38:B42"/>
    <mergeCell ref="D38:D42"/>
    <mergeCell ref="B14:I14"/>
    <mergeCell ref="D43:D49"/>
    <mergeCell ref="B43:B49"/>
    <mergeCell ref="D50:D53"/>
    <mergeCell ref="B50:B53"/>
    <mergeCell ref="D16:D27"/>
    <mergeCell ref="B16:B27"/>
    <mergeCell ref="B28:B31"/>
    <mergeCell ref="D28:D31"/>
  </mergeCells>
  <dataValidations count="2">
    <dataValidation type="list" allowBlank="1" showInputMessage="1" showErrorMessage="1" sqref="G55:G59 G16:G53" xr:uid="{00000000-0002-0000-0100-000000000000}">
      <formula1>"Si, No, En proceso"</formula1>
    </dataValidation>
    <dataValidation type="list" allowBlank="1" showInputMessage="1" showErrorMessage="1" sqref="G54" xr:uid="{00000000-0002-0000-0100-000001000000}">
      <formula1>"Si, No"</formula1>
    </dataValidation>
  </dataValidations>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74"/>
  <sheetViews>
    <sheetView topLeftCell="A61" zoomScale="80" zoomScaleNormal="80" workbookViewId="0">
      <selection activeCell="E20" sqref="E20"/>
    </sheetView>
  </sheetViews>
  <sheetFormatPr defaultColWidth="11.42578125" defaultRowHeight="14.45"/>
  <cols>
    <col min="3" max="3" width="22.85546875" customWidth="1"/>
    <col min="4" max="4" width="22.5703125" customWidth="1"/>
    <col min="5" max="5" width="53.42578125" customWidth="1"/>
    <col min="7" max="7" width="28.28515625" customWidth="1"/>
    <col min="8" max="8" width="4.85546875" customWidth="1"/>
    <col min="9" max="9" width="15.28515625" customWidth="1"/>
    <col min="10" max="10" width="22.42578125" customWidth="1"/>
    <col min="11" max="29" width="11.42578125" style="1"/>
  </cols>
  <sheetData>
    <row r="1" spans="1:11">
      <c r="A1" s="1"/>
      <c r="B1" s="1"/>
      <c r="C1" s="1"/>
      <c r="D1" s="1"/>
      <c r="E1" s="1"/>
      <c r="F1" s="1"/>
      <c r="G1" s="1"/>
      <c r="H1" s="1"/>
      <c r="I1" s="1"/>
      <c r="J1" s="1"/>
    </row>
    <row r="2" spans="1:11" s="1" customFormat="1"/>
    <row r="3" spans="1:11" s="1" customFormat="1"/>
    <row r="4" spans="1:11">
      <c r="A4" s="1"/>
      <c r="B4" s="1"/>
      <c r="C4" s="1"/>
      <c r="D4" s="1"/>
      <c r="E4" s="1"/>
      <c r="F4" s="1"/>
      <c r="G4" s="1"/>
      <c r="H4" s="1"/>
      <c r="I4" s="1"/>
      <c r="J4" s="1"/>
    </row>
    <row r="5" spans="1:11">
      <c r="A5" s="1"/>
      <c r="B5" s="1"/>
      <c r="C5" s="1"/>
      <c r="D5" s="1"/>
      <c r="E5" s="1"/>
      <c r="F5" s="1"/>
      <c r="G5" s="1"/>
      <c r="H5" s="1"/>
      <c r="I5" s="1"/>
      <c r="J5" s="1"/>
    </row>
    <row r="6" spans="1:11" ht="15" thickBot="1">
      <c r="A6" s="1"/>
      <c r="B6" s="1"/>
      <c r="C6" s="1"/>
      <c r="D6" s="1"/>
      <c r="E6" s="1"/>
      <c r="F6" s="1"/>
      <c r="G6" s="1"/>
      <c r="H6" s="1"/>
      <c r="I6" s="1"/>
      <c r="J6" s="1"/>
    </row>
    <row r="7" spans="1:11" ht="25.9" thickBot="1">
      <c r="A7" s="1"/>
      <c r="B7" s="1"/>
      <c r="C7" s="251" t="s">
        <v>155</v>
      </c>
      <c r="D7" s="252"/>
      <c r="E7" s="252"/>
      <c r="F7" s="252"/>
      <c r="G7" s="252"/>
      <c r="H7" s="252"/>
      <c r="I7" s="252"/>
      <c r="J7" s="252"/>
      <c r="K7" s="253"/>
    </row>
    <row r="8" spans="1:11" s="1" customFormat="1" ht="15" thickBot="1">
      <c r="C8" s="36"/>
      <c r="D8" s="36"/>
      <c r="E8" s="37"/>
      <c r="F8" s="37"/>
      <c r="G8" s="37"/>
      <c r="H8" s="37"/>
      <c r="I8" s="47"/>
      <c r="J8" s="37"/>
      <c r="K8" s="37"/>
    </row>
    <row r="9" spans="1:11" ht="21" thickBot="1">
      <c r="A9" s="1"/>
      <c r="B9" s="1"/>
      <c r="C9" s="160" t="s">
        <v>15</v>
      </c>
      <c r="D9" s="161"/>
      <c r="E9" s="161" t="s">
        <v>16</v>
      </c>
      <c r="F9" s="172"/>
      <c r="G9" s="37"/>
      <c r="H9" s="37"/>
      <c r="I9" s="47"/>
      <c r="J9" s="37"/>
      <c r="K9" s="37"/>
    </row>
    <row r="10" spans="1:11" ht="54" customHeight="1">
      <c r="A10" s="1"/>
      <c r="B10" s="1"/>
      <c r="C10" s="173" t="s">
        <v>17</v>
      </c>
      <c r="D10" s="174"/>
      <c r="E10" s="175" t="s">
        <v>18</v>
      </c>
      <c r="F10" s="176"/>
      <c r="G10" s="38"/>
      <c r="H10" s="39">
        <v>1</v>
      </c>
      <c r="I10" s="47"/>
      <c r="J10" s="37"/>
      <c r="K10" s="37"/>
    </row>
    <row r="11" spans="1:11" ht="46.5" customHeight="1">
      <c r="A11" s="1"/>
      <c r="B11" s="1"/>
      <c r="C11" s="162" t="s">
        <v>19</v>
      </c>
      <c r="D11" s="163"/>
      <c r="E11" s="164" t="s">
        <v>156</v>
      </c>
      <c r="F11" s="165"/>
      <c r="G11" s="40" t="s">
        <v>157</v>
      </c>
      <c r="H11" s="39">
        <v>0.75</v>
      </c>
      <c r="I11" s="47"/>
      <c r="J11" s="37"/>
      <c r="K11" s="37"/>
    </row>
    <row r="12" spans="1:11" ht="70.5" customHeight="1" thickBot="1">
      <c r="A12" s="1"/>
      <c r="B12" s="1"/>
      <c r="C12" s="166" t="s">
        <v>21</v>
      </c>
      <c r="D12" s="167"/>
      <c r="E12" s="168" t="s">
        <v>158</v>
      </c>
      <c r="F12" s="169"/>
      <c r="G12" s="41"/>
      <c r="H12" s="39">
        <v>0.25</v>
      </c>
      <c r="I12" s="47"/>
      <c r="J12" s="37"/>
      <c r="K12" s="37"/>
    </row>
    <row r="13" spans="1:11" s="1" customFormat="1"/>
    <row r="14" spans="1:11" s="1" customFormat="1"/>
    <row r="15" spans="1:11" s="1" customFormat="1"/>
    <row r="16" spans="1:11" s="1" customFormat="1" ht="15" thickBot="1"/>
    <row r="17" spans="1:10">
      <c r="A17" s="1"/>
      <c r="B17" s="1"/>
      <c r="C17" s="259" t="s">
        <v>159</v>
      </c>
      <c r="D17" s="261" t="s">
        <v>160</v>
      </c>
      <c r="E17" s="262"/>
      <c r="F17" s="263" t="s">
        <v>161</v>
      </c>
      <c r="G17" s="265" t="s">
        <v>162</v>
      </c>
      <c r="H17" s="35"/>
      <c r="I17" s="254" t="s">
        <v>163</v>
      </c>
      <c r="J17" s="254" t="s">
        <v>164</v>
      </c>
    </row>
    <row r="18" spans="1:10" ht="36" customHeight="1" thickBot="1">
      <c r="A18" s="1"/>
      <c r="B18" s="1"/>
      <c r="C18" s="260"/>
      <c r="D18" s="110" t="s">
        <v>165</v>
      </c>
      <c r="E18" s="111" t="s">
        <v>27</v>
      </c>
      <c r="F18" s="264"/>
      <c r="G18" s="266"/>
      <c r="H18" s="35"/>
      <c r="I18" s="255"/>
      <c r="J18" s="255"/>
    </row>
    <row r="19" spans="1:10" ht="65.25" customHeight="1">
      <c r="A19" s="1"/>
      <c r="B19" s="1"/>
      <c r="C19" s="129">
        <v>1</v>
      </c>
      <c r="D19" s="256" t="s">
        <v>32</v>
      </c>
      <c r="E19" s="112" t="str">
        <f>+IFERROR(INDEX(Hoja1!$E$2:$E$45,MATCH('Análisis Resultados'!C19,Hoja1!$H$2:$H$45,0)),"")</f>
        <v>Documento interno o adopción del MECI actualizado</v>
      </c>
      <c r="F19" s="113" t="str">
        <f>+IFERROR(VLOOKUP(C19,Hoja1!$H$2:$I$45,2,0),"")</f>
        <v>Si</v>
      </c>
      <c r="G19" s="114" t="str">
        <f>+IF(F19="Si","Existe requerimiento pero se requiere actividades  dirigidas a su mantenimiento dentro del marco de las lineas de defensa.",IF(F19="En proceso","Se encuentra en proceso, pero requiere continuar con acciones dirigidas a contar con dicho aspecto de control.","No se encuentra el aspecto  por lo tanto la entidad debera generar acciones dirigidas a que se cumpla con el requerimiento."))</f>
        <v>Existe requerimiento pero se requiere actividades  dirigidas a su mantenimiento dentro del marco de las lineas de defensa.</v>
      </c>
      <c r="I19" s="130">
        <f>+IF(F19="Si",1,IF(F19="En proceso",0.5,0))</f>
        <v>1</v>
      </c>
      <c r="J19" s="269">
        <f>+AVERAGE(I19:I30)</f>
        <v>1</v>
      </c>
    </row>
    <row r="20" spans="1:10" ht="41.45">
      <c r="A20" s="1"/>
      <c r="B20" s="1"/>
      <c r="C20" s="129">
        <v>2</v>
      </c>
      <c r="D20" s="257"/>
      <c r="E20" s="115" t="str">
        <f>+IFERROR(INDEX(Hoja1!$E$2:$E$45,MATCH('Análisis Resultados'!C20,Hoja1!$H$2:$H$45,0)),"")</f>
        <v>Un documento tal como un código de ética, integridad u otro que formalice los estándares de conducta, los principios institucionales o los valores del servicio público</v>
      </c>
      <c r="F20" s="116" t="str">
        <f>+IFERROR(VLOOKUP(C20,Hoja1!$H$2:$I$45,2,0),"")</f>
        <v>Si</v>
      </c>
      <c r="G20" s="117" t="str">
        <f t="shared" ref="G20:G62" si="0">+IF(F20="Si","Existe requerimiento pero se requiere actividades  dirigidas a su mantenimiento dentro del marco de las lineas de defensa.",IF(F20="En proceso","Se encuentra en proceso, pero requiere continuar con acciones dirigidas a contar con dicho aspecto de control.","No se encuentra el aspecto  por lo tanto la entidad debera generar acciones dirigidas a que se cumpla con el requerimiento."))</f>
        <v>Existe requerimiento pero se requiere actividades  dirigidas a su mantenimiento dentro del marco de las lineas de defensa.</v>
      </c>
      <c r="I20" s="131">
        <f t="shared" ref="I20:I62" si="1">+IF(F20="Si",1,IF(F20="En proceso",0.5,0))</f>
        <v>1</v>
      </c>
      <c r="J20" s="270"/>
    </row>
    <row r="21" spans="1:10" ht="41.45">
      <c r="A21" s="1"/>
      <c r="B21" s="1"/>
      <c r="C21" s="129">
        <v>3</v>
      </c>
      <c r="D21" s="257"/>
      <c r="E21" s="115" t="str">
        <f>+IFERROR(INDEX(Hoja1!$E$2:$E$45,MATCH('Análisis Resultados'!C21,Hoja1!$H$2:$H$45,0)),"")</f>
        <v>Planes, programas y proyectos de acuerdo con las normas que rigen y atendiendo con su propósito fundamental institucional (misión)</v>
      </c>
      <c r="F21" s="116" t="str">
        <f>+IFERROR(VLOOKUP(C21,Hoja1!$H$2:$I$45,2,0),"")</f>
        <v>Si</v>
      </c>
      <c r="G21" s="117" t="str">
        <f t="shared" si="0"/>
        <v>Existe requerimiento pero se requiere actividades  dirigidas a su mantenimiento dentro del marco de las lineas de defensa.</v>
      </c>
      <c r="I21" s="131">
        <f t="shared" si="1"/>
        <v>1</v>
      </c>
      <c r="J21" s="270"/>
    </row>
    <row r="22" spans="1:10" ht="56.25" customHeight="1">
      <c r="A22" s="1"/>
      <c r="B22" s="1"/>
      <c r="C22" s="129">
        <v>4</v>
      </c>
      <c r="D22" s="257"/>
      <c r="E22" s="115" t="str">
        <f>+IFERROR(INDEX(Hoja1!$E$2:$E$45,MATCH('Análisis Resultados'!C22,Hoja1!$H$2:$H$45,0)),"")</f>
        <v>Una estructura organizacional formalizada (organigrama)</v>
      </c>
      <c r="F22" s="116" t="str">
        <f>+IFERROR(VLOOKUP(C22,Hoja1!$H$2:$I$45,2,0),"")</f>
        <v>Si</v>
      </c>
      <c r="G22" s="117" t="str">
        <f t="shared" si="0"/>
        <v>Existe requerimiento pero se requiere actividades  dirigidas a su mantenimiento dentro del marco de las lineas de defensa.</v>
      </c>
      <c r="I22" s="131">
        <f t="shared" si="1"/>
        <v>1</v>
      </c>
      <c r="J22" s="270"/>
    </row>
    <row r="23" spans="1:10" ht="30.6">
      <c r="A23" s="1"/>
      <c r="B23" s="1"/>
      <c r="C23" s="129">
        <v>5</v>
      </c>
      <c r="D23" s="257"/>
      <c r="E23" s="115" t="str">
        <f>+IFERROR(INDEX(Hoja1!$E$2:$E$45,MATCH('Análisis Resultados'!C23,Hoja1!$H$2:$H$45,0)),"")</f>
        <v>Un manual de funciones que describa los empleos de la entidad</v>
      </c>
      <c r="F23" s="116" t="str">
        <f>+IFERROR(VLOOKUP(C23,Hoja1!$H$2:$I$45,2,0),"")</f>
        <v>Si</v>
      </c>
      <c r="G23" s="117" t="str">
        <f t="shared" si="0"/>
        <v>Existe requerimiento pero se requiere actividades  dirigidas a su mantenimiento dentro del marco de las lineas de defensa.</v>
      </c>
      <c r="I23" s="131">
        <f t="shared" si="1"/>
        <v>1</v>
      </c>
      <c r="J23" s="270"/>
    </row>
    <row r="24" spans="1:10" ht="41.45">
      <c r="A24" s="1"/>
      <c r="B24" s="1"/>
      <c r="C24" s="129">
        <v>6</v>
      </c>
      <c r="D24" s="257"/>
      <c r="E24" s="115" t="str">
        <f>+IFERROR(INDEX(Hoja1!$E$2:$E$45,MATCH('Análisis Resultados'!C24,Hoja1!$H$2:$H$45,0)),"")</f>
        <v>La documentación de sus procesos y procedimientos o bien una lista de actividades principales que permitan conocer el estado de su gestión</v>
      </c>
      <c r="F24" s="116" t="str">
        <f>+IFERROR(VLOOKUP(C24,Hoja1!$H$2:$I$45,2,0),"")</f>
        <v>Si</v>
      </c>
      <c r="G24" s="117" t="str">
        <f t="shared" si="0"/>
        <v>Existe requerimiento pero se requiere actividades  dirigidas a su mantenimiento dentro del marco de las lineas de defensa.</v>
      </c>
      <c r="I24" s="131">
        <f t="shared" si="1"/>
        <v>1</v>
      </c>
      <c r="J24" s="270"/>
    </row>
    <row r="25" spans="1:10" ht="41.45">
      <c r="A25" s="1"/>
      <c r="B25" s="1"/>
      <c r="C25" s="129">
        <v>7</v>
      </c>
      <c r="D25" s="257"/>
      <c r="E25" s="115" t="str">
        <f>+IFERROR(INDEX(Hoja1!$E$2:$E$45,MATCH('Análisis Resultados'!C25,Hoja1!$H$2:$H$45,0)),"")</f>
        <v>Vinculación de los servidores públicos de acuerdo con el marco normativo que les rige (carrera administrativa, libre nombramiento y remoción, entre otros)</v>
      </c>
      <c r="F25" s="116" t="str">
        <f>+IFERROR(VLOOKUP(C25,Hoja1!$H$2:$I$45,2,0),"")</f>
        <v>Si</v>
      </c>
      <c r="G25" s="117" t="str">
        <f t="shared" si="0"/>
        <v>Existe requerimiento pero se requiere actividades  dirigidas a su mantenimiento dentro del marco de las lineas de defensa.</v>
      </c>
      <c r="I25" s="131">
        <f t="shared" si="1"/>
        <v>1</v>
      </c>
      <c r="J25" s="270"/>
    </row>
    <row r="26" spans="1:10" ht="41.45">
      <c r="A26" s="1"/>
      <c r="B26" s="1"/>
      <c r="C26" s="129">
        <v>8</v>
      </c>
      <c r="D26" s="257"/>
      <c r="E26" s="115" t="str">
        <f>+IFERROR(INDEX(Hoja1!$E$2:$E$45,MATCH('Análisis Resultados'!C26,Hoja1!$H$2:$H$45,0)),"")</f>
        <v>Procesos de inducción, capacitación y bienestar social para sus servidores públicos, de manera directa o en asociación con otras entidades municipales</v>
      </c>
      <c r="F26" s="116" t="str">
        <f>+IFERROR(VLOOKUP(C26,Hoja1!$H$2:$I$45,2,0),"")</f>
        <v>Si</v>
      </c>
      <c r="G26" s="117" t="str">
        <f t="shared" si="0"/>
        <v>Existe requerimiento pero se requiere actividades  dirigidas a su mantenimiento dentro del marco de las lineas de defensa.</v>
      </c>
      <c r="I26" s="131">
        <f t="shared" si="1"/>
        <v>1</v>
      </c>
      <c r="J26" s="270"/>
    </row>
    <row r="27" spans="1:10" ht="30.6">
      <c r="A27" s="1"/>
      <c r="B27" s="1"/>
      <c r="C27" s="129">
        <v>9</v>
      </c>
      <c r="D27" s="257"/>
      <c r="E27" s="115" t="str">
        <f>+IFERROR(INDEX(Hoja1!$E$2:$E$45,MATCH('Análisis Resultados'!C27,Hoja1!$H$2:$H$45,0)),"")</f>
        <v>Evaluación a los servidores públicos de acuerdo con el marco normativo que le rige</v>
      </c>
      <c r="F27" s="116" t="str">
        <f>+IFERROR(VLOOKUP(C27,Hoja1!$H$2:$I$45,2,0),"")</f>
        <v>Si</v>
      </c>
      <c r="G27" s="117" t="str">
        <f t="shared" si="0"/>
        <v>Existe requerimiento pero se requiere actividades  dirigidas a su mantenimiento dentro del marco de las lineas de defensa.</v>
      </c>
      <c r="I27" s="131">
        <f t="shared" si="1"/>
        <v>1</v>
      </c>
      <c r="J27" s="270"/>
    </row>
    <row r="28" spans="1:10" ht="30.6">
      <c r="A28" s="1"/>
      <c r="B28" s="1"/>
      <c r="C28" s="129">
        <v>10</v>
      </c>
      <c r="D28" s="257"/>
      <c r="E28" s="115" t="str">
        <f>+IFERROR(INDEX(Hoja1!$E$2:$E$45,MATCH('Análisis Resultados'!C28,Hoja1!$H$2:$H$45,0)),"")</f>
        <v>Procesos de desvinculación de servidores de acuerdo con lo previsto en la Constitución Política y las leyes</v>
      </c>
      <c r="F28" s="116" t="str">
        <f>+IFERROR(VLOOKUP(C28,Hoja1!$H$2:$I$45,2,0),"")</f>
        <v>Si</v>
      </c>
      <c r="G28" s="117" t="str">
        <f t="shared" si="0"/>
        <v>Existe requerimiento pero se requiere actividades  dirigidas a su mantenimiento dentro del marco de las lineas de defensa.</v>
      </c>
      <c r="I28" s="131">
        <f t="shared" si="1"/>
        <v>1</v>
      </c>
      <c r="J28" s="270"/>
    </row>
    <row r="29" spans="1:10" ht="30.6">
      <c r="A29" s="1"/>
      <c r="B29" s="1"/>
      <c r="C29" s="129">
        <v>11</v>
      </c>
      <c r="D29" s="257"/>
      <c r="E29" s="115" t="str">
        <f>+IFERROR(INDEX(Hoja1!$E$2:$E$45,MATCH('Análisis Resultados'!C29,Hoja1!$H$2:$H$45,0)),"")</f>
        <v>Mecanismos de rendición de cuentas a la ciudadanía</v>
      </c>
      <c r="F29" s="116" t="str">
        <f>+IFERROR(VLOOKUP(C29,Hoja1!$H$2:$I$45,2,0),"")</f>
        <v>Si</v>
      </c>
      <c r="G29" s="117" t="str">
        <f>+IF(F29="Si","Existe requerimiento pero se requiere actividades  dirigidas a su mantenimiento dentro del marco de las lineas de defensa.",IF(F29="En proceso","Se encuentra en proceso, pero requiere continuar con acciones dirigidas a contar con dicho aspecto de control.","No se encuentra el aspecto  por lo tanto la entidad debera generar acciones dirigidas a que se cumpla con el requerimiento."))</f>
        <v>Existe requerimiento pero se requiere actividades  dirigidas a su mantenimiento dentro del marco de las lineas de defensa.</v>
      </c>
      <c r="I29" s="131">
        <f t="shared" si="1"/>
        <v>1</v>
      </c>
      <c r="J29" s="270"/>
    </row>
    <row r="30" spans="1:10" ht="31.15" thickBot="1">
      <c r="A30" s="1"/>
      <c r="B30" s="1"/>
      <c r="C30" s="129">
        <v>12</v>
      </c>
      <c r="D30" s="258"/>
      <c r="E30" s="118" t="str">
        <f>+IFERROR(INDEX(Hoja1!$E$2:$E$45,MATCH('Análisis Resultados'!C30,Hoja1!$H$2:$H$45,0)),"")</f>
        <v>Presentación oportuna de sus informes de gestión a las autoridades competentes</v>
      </c>
      <c r="F30" s="119" t="str">
        <f>+IFERROR(VLOOKUP(C30,Hoja1!$H$2:$I$45,2,0),"")</f>
        <v>Si</v>
      </c>
      <c r="G30" s="120" t="str">
        <f t="shared" si="0"/>
        <v>Existe requerimiento pero se requiere actividades  dirigidas a su mantenimiento dentro del marco de las lineas de defensa.</v>
      </c>
      <c r="I30" s="132">
        <f t="shared" si="1"/>
        <v>1</v>
      </c>
      <c r="J30" s="271"/>
    </row>
    <row r="31" spans="1:10" ht="45" customHeight="1">
      <c r="A31" s="1"/>
      <c r="B31" s="1"/>
      <c r="C31" s="129">
        <v>13</v>
      </c>
      <c r="D31" s="283" t="s">
        <v>72</v>
      </c>
      <c r="E31" s="112" t="str">
        <f>+IFERROR(INDEX(Hoja1!$E$2:$E$45,MATCH('Análisis Resultados'!C31,Hoja1!$H$2:$H$45,0)),"")</f>
        <v>La identificación de cambios en su entorno que pueden generar consecuencias negativas en su gestión</v>
      </c>
      <c r="F31" s="113" t="str">
        <f>+IFERROR(VLOOKUP(C31,Hoja1!$H$2:$I$45,2,0),"")</f>
        <v>Si</v>
      </c>
      <c r="G31" s="114" t="str">
        <f t="shared" si="0"/>
        <v>Existe requerimiento pero se requiere actividades  dirigidas a su mantenimiento dentro del marco de las lineas de defensa.</v>
      </c>
      <c r="I31" s="130">
        <f t="shared" si="1"/>
        <v>1</v>
      </c>
      <c r="J31" s="267">
        <f>+AVERAGE(I31:I40)</f>
        <v>1</v>
      </c>
    </row>
    <row r="32" spans="1:10" ht="57" customHeight="1">
      <c r="A32" s="1"/>
      <c r="B32" s="1"/>
      <c r="C32" s="129">
        <v>14</v>
      </c>
      <c r="D32" s="284"/>
      <c r="E32" s="115" t="str">
        <f>+IFERROR(INDEX(Hoja1!$E$2:$E$45,MATCH('Análisis Resultados'!C32,Hoja1!$H$2:$H$45,0)),"")</f>
        <v>La identificación de aquellos problemas o aspectos que pueden afectar el cumplimiento de los planes de la entidad y en general su gestión institucional (riesgos)</v>
      </c>
      <c r="F32" s="116" t="str">
        <f>+IFERROR(VLOOKUP(C32,Hoja1!$H$2:$I$45,2,0),"")</f>
        <v>Si</v>
      </c>
      <c r="G32" s="117" t="str">
        <f t="shared" si="0"/>
        <v>Existe requerimiento pero se requiere actividades  dirigidas a su mantenimiento dentro del marco de las lineas de defensa.</v>
      </c>
      <c r="I32" s="131">
        <f t="shared" si="1"/>
        <v>1</v>
      </c>
      <c r="J32" s="268"/>
    </row>
    <row r="33" spans="1:10" ht="54" customHeight="1">
      <c r="A33" s="1"/>
      <c r="B33" s="1"/>
      <c r="C33" s="129">
        <v>15</v>
      </c>
      <c r="D33" s="284"/>
      <c r="E33" s="115" t="str">
        <f>+IFERROR(INDEX(Hoja1!$E$2:$E$45,MATCH('Análisis Resultados'!C33,Hoja1!$H$2:$H$45,0)),"")</f>
        <v>La identificación  de los riesgos relacionados con posibles actos de corrupción en el ejercicio de sus funciones</v>
      </c>
      <c r="F33" s="116" t="str">
        <f>+IFERROR(VLOOKUP(C33,Hoja1!$H$2:$I$45,2,0),"")</f>
        <v>Si</v>
      </c>
      <c r="G33" s="117" t="str">
        <f t="shared" si="0"/>
        <v>Existe requerimiento pero se requiere actividades  dirigidas a su mantenimiento dentro del marco de las lineas de defensa.</v>
      </c>
      <c r="I33" s="131">
        <f t="shared" si="1"/>
        <v>1</v>
      </c>
      <c r="J33" s="268"/>
    </row>
    <row r="34" spans="1:10" ht="30.6">
      <c r="A34" s="1"/>
      <c r="B34" s="1"/>
      <c r="C34" s="129">
        <v>16</v>
      </c>
      <c r="D34" s="284"/>
      <c r="E34" s="115" t="str">
        <f>+IFERROR(INDEX(Hoja1!$E$2:$E$45,MATCH('Análisis Resultados'!C34,Hoja1!$H$2:$H$45,0)),"")</f>
        <v>Si su capacidad e infraestructura lo permite, identificación de riesgos asociados a las tecnologías de la información y las comunicaciones</v>
      </c>
      <c r="F34" s="116" t="str">
        <f>+IFERROR(VLOOKUP(C34,Hoja1!$H$2:$I$45,2,0),"")</f>
        <v>Si</v>
      </c>
      <c r="G34" s="117" t="str">
        <f t="shared" si="0"/>
        <v>Existe requerimiento pero se requiere actividades  dirigidas a su mantenimiento dentro del marco de las lineas de defensa.</v>
      </c>
      <c r="I34" s="131">
        <f t="shared" si="1"/>
        <v>1</v>
      </c>
      <c r="J34" s="268"/>
    </row>
    <row r="35" spans="1:10" ht="67.5" customHeight="1">
      <c r="A35" s="1"/>
      <c r="B35" s="1"/>
      <c r="C35" s="129">
        <v>17</v>
      </c>
      <c r="D35" s="284"/>
      <c r="E35" s="115" t="str">
        <f>+IFERROR(INDEX(Hoja1!$E$2:$E$45,MATCH('Análisis Resultados'!C35,Hoja1!$H$2:$H$45,0)),"")</f>
        <v>Hacen seguimiento a los problemas (riesgos)  que pueden afectar el cumplimiento de sus procesos, programas o proyectos a cargo</v>
      </c>
      <c r="F35" s="116" t="str">
        <f>+IFERROR(VLOOKUP(C35,Hoja1!$H$2:$I$45,2,0),"")</f>
        <v>Si</v>
      </c>
      <c r="G35" s="117" t="str">
        <f t="shared" si="0"/>
        <v>Existe requerimiento pero se requiere actividades  dirigidas a su mantenimiento dentro del marco de las lineas de defensa.</v>
      </c>
      <c r="I35" s="131">
        <f t="shared" si="1"/>
        <v>1</v>
      </c>
      <c r="J35" s="268"/>
    </row>
    <row r="36" spans="1:10" ht="30.6">
      <c r="A36" s="1"/>
      <c r="B36" s="1"/>
      <c r="C36" s="129">
        <v>18</v>
      </c>
      <c r="D36" s="284"/>
      <c r="E36" s="115" t="str">
        <f>+IFERROR(INDEX(Hoja1!$E$2:$E$45,MATCH('Análisis Resultados'!C36,Hoja1!$H$2:$H$45,0)),"")</f>
        <v>Informan de manera periódica a quien corresponda sobre el desempeño de las actividades de gestión de riesgos</v>
      </c>
      <c r="F36" s="116" t="str">
        <f>+IFERROR(VLOOKUP(C36,Hoja1!$H$2:$I$45,2,0),"")</f>
        <v>Si</v>
      </c>
      <c r="G36" s="117" t="str">
        <f t="shared" si="0"/>
        <v>Existe requerimiento pero se requiere actividades  dirigidas a su mantenimiento dentro del marco de las lineas de defensa.</v>
      </c>
      <c r="I36" s="131">
        <f t="shared" si="1"/>
        <v>1</v>
      </c>
      <c r="J36" s="268"/>
    </row>
    <row r="37" spans="1:10" ht="57" customHeight="1">
      <c r="A37" s="1"/>
      <c r="B37" s="1"/>
      <c r="C37" s="129">
        <v>19</v>
      </c>
      <c r="D37" s="284"/>
      <c r="E37" s="115" t="str">
        <f>+IFERROR(INDEX(Hoja1!$E$2:$E$45,MATCH('Análisis Resultados'!C37,Hoja1!$H$2:$H$45,0)),"")</f>
        <v>Identifican deficiencias en las maneras de  controlar los riesgos o problemas en sus procesos, programas o proyectos, y propone los ajustes necesarios</v>
      </c>
      <c r="F37" s="116" t="str">
        <f>+IFERROR(VLOOKUP(C37,Hoja1!$H$2:$I$45,2,0),"")</f>
        <v>Si</v>
      </c>
      <c r="G37" s="117" t="str">
        <f t="shared" si="0"/>
        <v>Existe requerimiento pero se requiere actividades  dirigidas a su mantenimiento dentro del marco de las lineas de defensa.</v>
      </c>
      <c r="I37" s="131">
        <f t="shared" si="1"/>
        <v>1</v>
      </c>
      <c r="J37" s="268"/>
    </row>
    <row r="38" spans="1:10" ht="30.6">
      <c r="A38" s="1"/>
      <c r="B38" s="1"/>
      <c r="C38" s="129">
        <v>20</v>
      </c>
      <c r="D38" s="284"/>
      <c r="E38" s="115" t="str">
        <f>+IFERROR(INDEX(Hoja1!$E$2:$E$45,MATCH('Análisis Resultados'!C38,Hoja1!$H$2:$H$45,0)),"")</f>
        <v>Se definen espacios de reunión para conocerlos y proponer acciones para su solución</v>
      </c>
      <c r="F38" s="116" t="str">
        <f>+IFERROR(VLOOKUP(C38,Hoja1!$H$2:$I$45,2,0),"")</f>
        <v>Si</v>
      </c>
      <c r="G38" s="117" t="str">
        <f t="shared" si="0"/>
        <v>Existe requerimiento pero se requiere actividades  dirigidas a su mantenimiento dentro del marco de las lineas de defensa.</v>
      </c>
      <c r="I38" s="131">
        <f t="shared" si="1"/>
        <v>1</v>
      </c>
      <c r="J38" s="268"/>
    </row>
    <row r="39" spans="1:10" ht="30.6">
      <c r="A39" s="1"/>
      <c r="B39" s="1"/>
      <c r="C39" s="129">
        <v>21</v>
      </c>
      <c r="D39" s="284"/>
      <c r="E39" s="115" t="str">
        <f>+IFERROR(INDEX(Hoja1!$E$2:$E$45,MATCH('Análisis Resultados'!C39,Hoja1!$H$2:$H$45,0)),"")</f>
        <v>Cada líder del equipo autónomamente toma las acciones para solucionarlos.</v>
      </c>
      <c r="F39" s="116" t="str">
        <f>+IFERROR(VLOOKUP(C39,Hoja1!$H$2:$I$45,2,0),"")</f>
        <v>Si</v>
      </c>
      <c r="G39" s="117" t="str">
        <f t="shared" si="0"/>
        <v>Existe requerimiento pero se requiere actividades  dirigidas a su mantenimiento dentro del marco de las lineas de defensa.</v>
      </c>
      <c r="I39" s="131">
        <f t="shared" si="1"/>
        <v>1</v>
      </c>
      <c r="J39" s="268"/>
    </row>
    <row r="40" spans="1:10" ht="31.15" thickBot="1">
      <c r="A40" s="1"/>
      <c r="B40" s="1"/>
      <c r="C40" s="129">
        <v>22</v>
      </c>
      <c r="D40" s="284"/>
      <c r="E40" s="121" t="str">
        <f>+IFERROR(INDEX(Hoja1!$E$2:$E$45,MATCH('Análisis Resultados'!C40,Hoja1!$H$2:$H$45,0)),"")</f>
        <v>Solamente hasta que un organismo de control actúa se definen acciones de mejora.</v>
      </c>
      <c r="F40" s="122" t="str">
        <f>+IFERROR(VLOOKUP(C40,Hoja1!$H$2:$I$45,2,0),"")</f>
        <v>Si</v>
      </c>
      <c r="G40" s="123" t="str">
        <f t="shared" si="0"/>
        <v>Existe requerimiento pero se requiere actividades  dirigidas a su mantenimiento dentro del marco de las lineas de defensa.</v>
      </c>
      <c r="I40" s="133">
        <f t="shared" si="1"/>
        <v>1</v>
      </c>
      <c r="J40" s="268"/>
    </row>
    <row r="41" spans="1:10" ht="87.75" customHeight="1">
      <c r="A41" s="1"/>
      <c r="B41" s="1"/>
      <c r="C41" s="129">
        <v>23</v>
      </c>
      <c r="D41" s="279" t="s">
        <v>99</v>
      </c>
      <c r="E41" s="112" t="str">
        <f>+IFERROR(INDEX(Hoja1!$E$2:$E$45,MATCH('Análisis Resultados'!C41,Hoja1!$H$2:$H$45,0)),"")</f>
        <v>La definición de acciones o actividades para para dar tratamiento a los problemas identificados (mitigación de riesgos), incluyendo aquellos asociados a posibles actos de corrupción</v>
      </c>
      <c r="F41" s="113" t="str">
        <f>+IFERROR(VLOOKUP(C41,Hoja1!$H$2:$I$45,2,0),"")</f>
        <v>Si</v>
      </c>
      <c r="G41" s="114" t="str">
        <f t="shared" si="0"/>
        <v>Existe requerimiento pero se requiere actividades  dirigidas a su mantenimiento dentro del marco de las lineas de defensa.</v>
      </c>
      <c r="I41" s="130">
        <f t="shared" si="1"/>
        <v>1</v>
      </c>
      <c r="J41" s="267">
        <f>+AVERAGE(I41:I45)</f>
        <v>1</v>
      </c>
    </row>
    <row r="42" spans="1:10" ht="55.15">
      <c r="A42" s="1"/>
      <c r="B42" s="1"/>
      <c r="C42" s="129">
        <v>24</v>
      </c>
      <c r="D42" s="280"/>
      <c r="E42" s="115" t="str">
        <f>+IFERROR(INDEX(Hoja1!$E$2:$E$45,MATCH('Análisis Resultados'!C42,Hoja1!$H$2:$H$45,0)),"")</f>
        <v>Mecanismos de verificación de si se están o no mitigando los riesgos, o en su defecto, elaboración de planes de contingencia para subsanar sus consecuencias</v>
      </c>
      <c r="F42" s="116" t="str">
        <f>+IFERROR(VLOOKUP(C42,Hoja1!$H$2:$I$45,2,0),"")</f>
        <v>Si</v>
      </c>
      <c r="G42" s="117" t="str">
        <f t="shared" si="0"/>
        <v>Existe requerimiento pero se requiere actividades  dirigidas a su mantenimiento dentro del marco de las lineas de defensa.</v>
      </c>
      <c r="I42" s="131">
        <f t="shared" si="1"/>
        <v>1</v>
      </c>
      <c r="J42" s="268"/>
    </row>
    <row r="43" spans="1:10" ht="85.5" customHeight="1">
      <c r="A43" s="1"/>
      <c r="B43" s="1"/>
      <c r="C43" s="129">
        <v>25</v>
      </c>
      <c r="D43" s="280"/>
      <c r="E43" s="115" t="str">
        <f>+IFERROR(INDEX(Hoja1!$E$2:$E$45,MATCH('Análisis Resultados'!C43,Hoja1!$H$2:$H$45,0)),"")</f>
        <v>Planes, acciones o estrategias que permitan subsanar las consecuencias de la materialización de los riesgos, cuando se presentan</v>
      </c>
      <c r="F43" s="116" t="str">
        <f>+IFERROR(VLOOKUP(C43,Hoja1!$H$2:$I$45,2,0),"")</f>
        <v>Si</v>
      </c>
      <c r="G43" s="117" t="str">
        <f t="shared" si="0"/>
        <v>Existe requerimiento pero se requiere actividades  dirigidas a su mantenimiento dentro del marco de las lineas de defensa.</v>
      </c>
      <c r="I43" s="131">
        <f t="shared" si="1"/>
        <v>1</v>
      </c>
      <c r="J43" s="268"/>
    </row>
    <row r="44" spans="1:10" ht="57" customHeight="1">
      <c r="A44" s="1"/>
      <c r="B44" s="1"/>
      <c r="C44" s="129">
        <v>26</v>
      </c>
      <c r="D44" s="280"/>
      <c r="E44" s="115" t="str">
        <f>+IFERROR(INDEX(Hoja1!$E$2:$E$45,MATCH('Análisis Resultados'!C44,Hoja1!$H$2:$H$45,0)),"")</f>
        <v>Un documento que consolide  los riesgos  y el tratamiento que se les da, incluyendo aquellos que conllevan posibles actos de corrupción y si la capacidad e infraestructura lo permite, los asociados con las tecnologías de la información y las comunicaciones</v>
      </c>
      <c r="F44" s="116" t="str">
        <f>+IFERROR(VLOOKUP(C44,Hoja1!$H$2:$I$45,2,0),"")</f>
        <v>Si</v>
      </c>
      <c r="G44" s="117" t="str">
        <f t="shared" si="0"/>
        <v>Existe requerimiento pero se requiere actividades  dirigidas a su mantenimiento dentro del marco de las lineas de defensa.</v>
      </c>
      <c r="I44" s="131">
        <f t="shared" si="1"/>
        <v>1</v>
      </c>
      <c r="J44" s="268"/>
    </row>
    <row r="45" spans="1:10" ht="57" customHeight="1" thickBot="1">
      <c r="A45" s="1"/>
      <c r="B45" s="1"/>
      <c r="C45" s="129">
        <v>27</v>
      </c>
      <c r="D45" s="281"/>
      <c r="E45" s="118" t="str">
        <f>+IFERROR(INDEX(Hoja1!$E$2:$E$45,MATCH('Análisis Resultados'!C45,Hoja1!$H$2:$H$45,0)),"")</f>
        <v>Un plan anticorrupción y de servicio al ciudadano con los temas que le aplican, publicado en algún medio para conocimiento de la ciudadanía</v>
      </c>
      <c r="F45" s="119" t="str">
        <f>+IFERROR(VLOOKUP(C45,Hoja1!$H$2:$I$45,2,0),"")</f>
        <v>Si</v>
      </c>
      <c r="G45" s="120" t="str">
        <f t="shared" si="0"/>
        <v>Existe requerimiento pero se requiere actividades  dirigidas a su mantenimiento dentro del marco de las lineas de defensa.</v>
      </c>
      <c r="I45" s="132">
        <f t="shared" si="1"/>
        <v>1</v>
      </c>
      <c r="J45" s="282"/>
    </row>
    <row r="46" spans="1:10" ht="63.75" customHeight="1">
      <c r="A46" s="1"/>
      <c r="B46" s="1"/>
      <c r="C46" s="129">
        <v>28</v>
      </c>
      <c r="D46" s="278" t="s">
        <v>112</v>
      </c>
      <c r="E46" s="124" t="str">
        <f>+IFERROR(INDEX(Hoja1!$E$2:$E$45,MATCH('Análisis Resultados'!C46,Hoja1!$H$2:$H$45,0)),"")</f>
        <v>Responsables de la información institucional</v>
      </c>
      <c r="F46" s="125" t="str">
        <f>+IFERROR(VLOOKUP(C46,Hoja1!$H$2:$I$45,2,0),"")</f>
        <v>Si</v>
      </c>
      <c r="G46" s="126" t="str">
        <f t="shared" si="0"/>
        <v>Existe requerimiento pero se requiere actividades  dirigidas a su mantenimiento dentro del marco de las lineas de defensa.</v>
      </c>
      <c r="I46" s="134">
        <f t="shared" si="1"/>
        <v>1</v>
      </c>
      <c r="J46" s="268">
        <f>+AVERAGE(I46:I52)</f>
        <v>1</v>
      </c>
    </row>
    <row r="47" spans="1:10" ht="92.25" customHeight="1">
      <c r="A47" s="1"/>
      <c r="B47" s="1"/>
      <c r="C47" s="129">
        <v>29</v>
      </c>
      <c r="D47" s="278"/>
      <c r="E47" s="115" t="str">
        <f>+IFERROR(INDEX(Hoja1!$E$2:$E$45,MATCH('Análisis Resultados'!C47,Hoja1!$H$2:$H$45,0)),"")</f>
        <v>Canales de comunicación con los ciudadanos</v>
      </c>
      <c r="F47" s="116" t="str">
        <f>+IFERROR(VLOOKUP(C47,Hoja1!$H$2:$I$45,2,0),"")</f>
        <v>Si</v>
      </c>
      <c r="G47" s="127" t="str">
        <f t="shared" si="0"/>
        <v>Existe requerimiento pero se requiere actividades  dirigidas a su mantenimiento dentro del marco de las lineas de defensa.</v>
      </c>
      <c r="I47" s="135">
        <f t="shared" si="1"/>
        <v>1</v>
      </c>
      <c r="J47" s="268"/>
    </row>
    <row r="48" spans="1:10" ht="66.75" customHeight="1">
      <c r="A48" s="1"/>
      <c r="B48" s="1"/>
      <c r="C48" s="129">
        <v>30</v>
      </c>
      <c r="D48" s="278"/>
      <c r="E48" s="115" t="str">
        <f>+IFERROR(INDEX(Hoja1!$E$2:$E$45,MATCH('Análisis Resultados'!C48,Hoja1!$H$2:$H$45,0)),"")</f>
        <v>Canales de comunicación o mecanismos de reporte de información a otros organismos gubernamentales o de control</v>
      </c>
      <c r="F48" s="116" t="str">
        <f>+IFERROR(VLOOKUP(C48,Hoja1!$H$2:$I$45,2,0),"")</f>
        <v>Si</v>
      </c>
      <c r="G48" s="127" t="str">
        <f t="shared" si="0"/>
        <v>Existe requerimiento pero se requiere actividades  dirigidas a su mantenimiento dentro del marco de las lineas de defensa.</v>
      </c>
      <c r="I48" s="135">
        <f t="shared" si="1"/>
        <v>1</v>
      </c>
      <c r="J48" s="268"/>
    </row>
    <row r="49" spans="1:10" ht="60" customHeight="1">
      <c r="A49" s="1"/>
      <c r="B49" s="1"/>
      <c r="C49" s="129">
        <v>31</v>
      </c>
      <c r="D49" s="278"/>
      <c r="E49" s="115" t="str">
        <f>+IFERROR(INDEX(Hoja1!$E$2:$E$45,MATCH('Análisis Resultados'!C49,Hoja1!$H$2:$H$45,0)),"")</f>
        <v xml:space="preserve">Lineamientos para dar tratamiento a la información de carácter reservado </v>
      </c>
      <c r="F49" s="116" t="str">
        <f>+IFERROR(VLOOKUP(C49,Hoja1!$H$2:$I$45,2,0),"")</f>
        <v>Si</v>
      </c>
      <c r="G49" s="127" t="str">
        <f t="shared" si="0"/>
        <v>Existe requerimiento pero se requiere actividades  dirigidas a su mantenimiento dentro del marco de las lineas de defensa.</v>
      </c>
      <c r="I49" s="135">
        <f t="shared" si="1"/>
        <v>1</v>
      </c>
      <c r="J49" s="268"/>
    </row>
    <row r="50" spans="1:10" ht="57" customHeight="1">
      <c r="A50" s="1"/>
      <c r="B50" s="1"/>
      <c r="C50" s="129">
        <v>32</v>
      </c>
      <c r="D50" s="278"/>
      <c r="E50" s="115" t="str">
        <f>+IFERROR(INDEX(Hoja1!$E$2:$E$45,MATCH('Análisis Resultados'!C50,Hoja1!$H$2:$H$45,0)),"")</f>
        <v>Identificación de información que produce en el marco de su gestión (Para los ciudadanos, organismos de control, organismos gubernamentales, entre otros)</v>
      </c>
      <c r="F50" s="116" t="str">
        <f>+IFERROR(VLOOKUP(C50,Hoja1!$H$2:$I$45,2,0),"")</f>
        <v>Si</v>
      </c>
      <c r="G50" s="127" t="str">
        <f t="shared" si="0"/>
        <v>Existe requerimiento pero se requiere actividades  dirigidas a su mantenimiento dentro del marco de las lineas de defensa.</v>
      </c>
      <c r="I50" s="135">
        <f t="shared" si="1"/>
        <v>1</v>
      </c>
      <c r="J50" s="268"/>
    </row>
    <row r="51" spans="1:10" ht="57" customHeight="1">
      <c r="A51" s="1"/>
      <c r="B51" s="1"/>
      <c r="C51" s="129">
        <v>33</v>
      </c>
      <c r="D51" s="278"/>
      <c r="E51" s="115" t="str">
        <f>+IFERROR(INDEX(Hoja1!$E$2:$E$45,MATCH('Análisis Resultados'!C51,Hoja1!$H$2:$H$45,0)),"")</f>
        <v>Identificación de información necesaria para la operación de la entidad (normograma, presupuesto, talento humano, infraestructura física y tecnológica)</v>
      </c>
      <c r="F51" s="116" t="str">
        <f>+IFERROR(VLOOKUP(C51,Hoja1!$H$2:$I$45,2,0),"")</f>
        <v>Si</v>
      </c>
      <c r="G51" s="127" t="str">
        <f t="shared" si="0"/>
        <v>Existe requerimiento pero se requiere actividades  dirigidas a su mantenimiento dentro del marco de las lineas de defensa.</v>
      </c>
      <c r="I51" s="135">
        <f t="shared" si="1"/>
        <v>1</v>
      </c>
      <c r="J51" s="268"/>
    </row>
    <row r="52" spans="1:10" ht="42" thickBot="1">
      <c r="A52" s="1"/>
      <c r="B52" s="1"/>
      <c r="C52" s="129">
        <v>34</v>
      </c>
      <c r="D52" s="278"/>
      <c r="E52" s="121" t="str">
        <f>+IFERROR(INDEX(Hoja1!$E$2:$E$45,MATCH('Análisis Resultados'!C52,Hoja1!$H$2:$H$45,0)),"")</f>
        <v>Si su capacidad e infraestructura lo permite, tecnologías de la información y las comunicaciones que soporten estos procesos</v>
      </c>
      <c r="F52" s="122" t="str">
        <f>+IFERROR(VLOOKUP(C52,Hoja1!$H$2:$I$45,2,0),"")</f>
        <v>Si</v>
      </c>
      <c r="G52" s="128" t="str">
        <f t="shared" si="0"/>
        <v>Existe requerimiento pero se requiere actividades  dirigidas a su mantenimiento dentro del marco de las lineas de defensa.</v>
      </c>
      <c r="I52" s="136">
        <f t="shared" si="1"/>
        <v>1</v>
      </c>
      <c r="J52" s="268"/>
    </row>
    <row r="53" spans="1:10" ht="41.25" customHeight="1">
      <c r="A53" s="1"/>
      <c r="B53" s="1"/>
      <c r="C53" s="129">
        <v>35</v>
      </c>
      <c r="D53" s="272" t="s">
        <v>129</v>
      </c>
      <c r="E53" s="112" t="str">
        <f>+IFERROR(INDEX(Hoja1!$E$2:$E$45,MATCH('Análisis Resultados'!C53,Hoja1!$H$2:$H$45,0)),"")</f>
        <v>Mecanismos de evaluación de la gestión (cronogramas, indicadores, listas de chequeo u otros)</v>
      </c>
      <c r="F53" s="113" t="str">
        <f>+IFERROR(VLOOKUP(C53,Hoja1!$H$2:$I$45,2,0),"")</f>
        <v>Si</v>
      </c>
      <c r="G53" s="114" t="str">
        <f t="shared" si="0"/>
        <v>Existe requerimiento pero se requiere actividades  dirigidas a su mantenimiento dentro del marco de las lineas de defensa.</v>
      </c>
      <c r="I53" s="130">
        <f t="shared" si="1"/>
        <v>1</v>
      </c>
      <c r="J53" s="275">
        <f>+AVERAGE(I53:I62)</f>
        <v>1</v>
      </c>
    </row>
    <row r="54" spans="1:10" ht="58.5" customHeight="1">
      <c r="A54" s="1"/>
      <c r="B54" s="1"/>
      <c r="C54" s="129">
        <v>36</v>
      </c>
      <c r="D54" s="273"/>
      <c r="E54" s="115" t="str">
        <f>+IFERROR(INDEX(Hoja1!$E$2:$E$45,MATCH('Análisis Resultados'!C54,Hoja1!$H$2:$H$45,0)),"")</f>
        <v>Algún mecanismo para monitorear o supervisar el sistema de control interno institucional, ya sea por parte del representante legal, o del área de control interno (si la entidad cuenta con ella), o bien a través del Comité departamental o municipal de Auditoría.</v>
      </c>
      <c r="F54" s="116" t="str">
        <f>+IFERROR(VLOOKUP(C54,Hoja1!$H$2:$I$45,2,0),"")</f>
        <v>Si</v>
      </c>
      <c r="G54" s="117" t="str">
        <f t="shared" si="0"/>
        <v>Existe requerimiento pero se requiere actividades  dirigidas a su mantenimiento dentro del marco de las lineas de defensa.</v>
      </c>
      <c r="I54" s="131">
        <f t="shared" si="1"/>
        <v>1</v>
      </c>
      <c r="J54" s="276"/>
    </row>
    <row r="55" spans="1:10" s="1" customFormat="1" ht="84.75" customHeight="1">
      <c r="C55" s="129">
        <v>37</v>
      </c>
      <c r="D55" s="273"/>
      <c r="E55" s="115" t="str">
        <f>+IFERROR(INDEX(Hoja1!$E$2:$E$45,MATCH('Análisis Resultados'!C55,Hoja1!$H$2:$H$45,0)),"")</f>
        <v>Medidas correctivas en caso de detectarse deficiencias en los ejercicios de evaluación, seguimiento o auditoría</v>
      </c>
      <c r="F55" s="116" t="str">
        <f>+IFERROR(VLOOKUP(C55,Hoja1!$H$2:$I$45,2,0),"")</f>
        <v>Si</v>
      </c>
      <c r="G55" s="117" t="str">
        <f t="shared" si="0"/>
        <v>Existe requerimiento pero se requiere actividades  dirigidas a su mantenimiento dentro del marco de las lineas de defensa.</v>
      </c>
      <c r="I55" s="131">
        <f t="shared" si="1"/>
        <v>1</v>
      </c>
      <c r="J55" s="276"/>
    </row>
    <row r="56" spans="1:10" s="1" customFormat="1" ht="78.75" customHeight="1">
      <c r="C56" s="129">
        <v>38</v>
      </c>
      <c r="D56" s="273"/>
      <c r="E56" s="115" t="str">
        <f>+IFERROR(INDEX(Hoja1!$E$2:$E$45,MATCH('Análisis Resultados'!C56,Hoja1!$H$2:$H$45,0)),"")</f>
        <v>Seguimiento a los planes de mejoramiento suscritos con instancias de control internas o externas</v>
      </c>
      <c r="F56" s="116" t="str">
        <f>+IFERROR(VLOOKUP(C56,Hoja1!$H$2:$I$45,2,0),"")</f>
        <v>Si</v>
      </c>
      <c r="G56" s="117" t="str">
        <f t="shared" si="0"/>
        <v>Existe requerimiento pero se requiere actividades  dirigidas a su mantenimiento dentro del marco de las lineas de defensa.</v>
      </c>
      <c r="I56" s="131">
        <f t="shared" si="1"/>
        <v>1</v>
      </c>
      <c r="J56" s="276"/>
    </row>
    <row r="57" spans="1:10" s="1" customFormat="1" ht="54.75" customHeight="1">
      <c r="C57" s="129">
        <v>39</v>
      </c>
      <c r="D57" s="273"/>
      <c r="E57" s="115" t="str">
        <f>+IFERROR(INDEX(Hoja1!$E$2:$E$45,MATCH('Análisis Resultados'!C57,Hoja1!$H$2:$H$45,0)),"")</f>
        <v>La entidad participa en el  Comité Municipal de Auditoría?</v>
      </c>
      <c r="F57" s="116" t="str">
        <f>+IFERROR(VLOOKUP(C57,Hoja1!$H$2:$I$45,2,0),"")</f>
        <v>Si</v>
      </c>
      <c r="G57" s="117" t="str">
        <f t="shared" si="0"/>
        <v>Existe requerimiento pero se requiere actividades  dirigidas a su mantenimiento dentro del marco de las lineas de defensa.</v>
      </c>
      <c r="I57" s="131">
        <f t="shared" si="1"/>
        <v>1</v>
      </c>
      <c r="J57" s="276"/>
    </row>
    <row r="58" spans="1:10" s="1" customFormat="1" ht="68.25" customHeight="1">
      <c r="C58" s="129">
        <v>40</v>
      </c>
      <c r="D58" s="273"/>
      <c r="E58" s="115" t="str">
        <f>+IFERROR(INDEX(Hoja1!$E$2:$E$45,MATCH('Análisis Resultados'!C58,Hoja1!$H$2:$H$45,0)),"")</f>
        <v>Evitar que los problemas (riesgos) obstaculicen el cumplimiento de los objetivos.</v>
      </c>
      <c r="F58" s="116" t="str">
        <f>+IFERROR(VLOOKUP(C58,Hoja1!$H$2:$I$45,2,0),"")</f>
        <v>Si</v>
      </c>
      <c r="G58" s="117" t="str">
        <f t="shared" si="0"/>
        <v>Existe requerimiento pero se requiere actividades  dirigidas a su mantenimiento dentro del marco de las lineas de defensa.</v>
      </c>
      <c r="I58" s="131">
        <f t="shared" si="1"/>
        <v>1</v>
      </c>
      <c r="J58" s="276"/>
    </row>
    <row r="59" spans="1:10" s="1" customFormat="1" ht="45" customHeight="1">
      <c r="C59" s="129">
        <v>41</v>
      </c>
      <c r="D59" s="273"/>
      <c r="E59" s="115" t="str">
        <f>+IFERROR(INDEX(Hoja1!$E$2:$E$45,MATCH('Análisis Resultados'!C59,Hoja1!$H$2:$H$45,0)),"")</f>
        <v>Controlar los puntos críticos en los procesos.</v>
      </c>
      <c r="F59" s="116" t="str">
        <f>+IFERROR(VLOOKUP(C59,Hoja1!$H$2:$I$45,2,0),"")</f>
        <v>Si</v>
      </c>
      <c r="G59" s="117" t="str">
        <f t="shared" si="0"/>
        <v>Existe requerimiento pero se requiere actividades  dirigidas a su mantenimiento dentro del marco de las lineas de defensa.</v>
      </c>
      <c r="I59" s="131">
        <f t="shared" si="1"/>
        <v>1</v>
      </c>
      <c r="J59" s="276"/>
    </row>
    <row r="60" spans="1:10" s="1" customFormat="1" ht="51.75" customHeight="1">
      <c r="C60" s="129">
        <v>42</v>
      </c>
      <c r="D60" s="273"/>
      <c r="E60" s="115" t="str">
        <f>+IFERROR(INDEX(Hoja1!$E$2:$E$45,MATCH('Análisis Resultados'!C60,Hoja1!$H$2:$H$45,0)),"")</f>
        <v>Diseñar acciones adecuadas para controlar los problemas que afectan el cumplimiento de las metas y objetivos institucionales (riesgos).</v>
      </c>
      <c r="F60" s="116" t="str">
        <f>+IFERROR(VLOOKUP(C60,Hoja1!$H$2:$I$45,2,0),"")</f>
        <v>Si</v>
      </c>
      <c r="G60" s="117" t="str">
        <f t="shared" si="0"/>
        <v>Existe requerimiento pero se requiere actividades  dirigidas a su mantenimiento dentro del marco de las lineas de defensa.</v>
      </c>
      <c r="I60" s="131">
        <f t="shared" si="1"/>
        <v>1</v>
      </c>
      <c r="J60" s="276"/>
    </row>
    <row r="61" spans="1:10" s="1" customFormat="1" ht="84" customHeight="1">
      <c r="C61" s="129">
        <v>43</v>
      </c>
      <c r="D61" s="273"/>
      <c r="E61" s="115" t="str">
        <f>+IFERROR(INDEX(Hoja1!$E$2:$E$45,MATCH('Análisis Resultados'!C61,Hoja1!$H$2:$H$45,0)),"")</f>
        <v>Ejecutar las acciones de acuerdo a como se diseñaron previamente.</v>
      </c>
      <c r="F61" s="116" t="str">
        <f>+IFERROR(VLOOKUP(C61,Hoja1!$H$2:$I$45,2,0),"")</f>
        <v>Si</v>
      </c>
      <c r="G61" s="117" t="str">
        <f t="shared" si="0"/>
        <v>Existe requerimiento pero se requiere actividades  dirigidas a su mantenimiento dentro del marco de las lineas de defensa.</v>
      </c>
      <c r="I61" s="131">
        <f t="shared" si="1"/>
        <v>1</v>
      </c>
      <c r="J61" s="276"/>
    </row>
    <row r="62" spans="1:10" s="1" customFormat="1" ht="60" customHeight="1" thickBot="1">
      <c r="C62" s="129">
        <v>44</v>
      </c>
      <c r="D62" s="274"/>
      <c r="E62" s="118" t="str">
        <f>+IFERROR(INDEX(Hoja1!$E$2:$E$45,MATCH('Análisis Resultados'!C62,Hoja1!$H$2:$H$45,0)),"")</f>
        <v>No se gestionan los problemas que afectan el cumplimiento de las funciones y objetivos institucionales(riesgos).</v>
      </c>
      <c r="F62" s="119" t="str">
        <f>+IFERROR(VLOOKUP(C62,Hoja1!$H$2:$I$45,2,0),"")</f>
        <v>Si</v>
      </c>
      <c r="G62" s="120" t="str">
        <f t="shared" si="0"/>
        <v>Existe requerimiento pero se requiere actividades  dirigidas a su mantenimiento dentro del marco de las lineas de defensa.</v>
      </c>
      <c r="I62" s="132">
        <f t="shared" si="1"/>
        <v>1</v>
      </c>
      <c r="J62" s="277"/>
    </row>
    <row r="63" spans="1:10" s="1" customFormat="1"/>
    <row r="64" spans="1:10" s="1" customFormat="1"/>
    <row r="65" spans="1:2" s="1" customFormat="1"/>
    <row r="66" spans="1:2" s="1" customFormat="1"/>
    <row r="67" spans="1:2" s="1" customFormat="1"/>
    <row r="68" spans="1:2" s="1" customFormat="1"/>
    <row r="69" spans="1:2" s="1" customFormat="1"/>
    <row r="70" spans="1:2" s="1" customFormat="1"/>
    <row r="71" spans="1:2">
      <c r="A71" s="1"/>
      <c r="B71" s="1"/>
    </row>
    <row r="72" spans="1:2">
      <c r="A72" s="1"/>
      <c r="B72" s="1"/>
    </row>
    <row r="73" spans="1:2">
      <c r="A73" s="1"/>
      <c r="B73" s="1"/>
    </row>
    <row r="74" spans="1:2">
      <c r="A74" s="1"/>
      <c r="B74" s="1"/>
    </row>
  </sheetData>
  <sheetProtection algorithmName="SHA-512" hashValue="2c/K7BVeA+JOjsvnu2HILGfEHHcx80UTyQTucJ5c70tus45UaD3gXdqjB7xLC6LydtmfT9VN5B07LstuhHP+UQ==" saltValue="5+Ylqwr6SZ9tvbSyY2m3gQ==" spinCount="100000" sheet="1" objects="1" scenarios="1" formatCells="0"/>
  <mergeCells count="25">
    <mergeCell ref="J31:J40"/>
    <mergeCell ref="C12:D12"/>
    <mergeCell ref="E12:F12"/>
    <mergeCell ref="J19:J30"/>
    <mergeCell ref="D53:D62"/>
    <mergeCell ref="J53:J62"/>
    <mergeCell ref="D46:D52"/>
    <mergeCell ref="J46:J52"/>
    <mergeCell ref="D41:D45"/>
    <mergeCell ref="J41:J45"/>
    <mergeCell ref="D31:D40"/>
    <mergeCell ref="C11:D11"/>
    <mergeCell ref="E11:F11"/>
    <mergeCell ref="J17:J18"/>
    <mergeCell ref="D19:D30"/>
    <mergeCell ref="C17:C18"/>
    <mergeCell ref="D17:E17"/>
    <mergeCell ref="F17:F18"/>
    <mergeCell ref="G17:G18"/>
    <mergeCell ref="I17:I18"/>
    <mergeCell ref="C7:K7"/>
    <mergeCell ref="C9:D9"/>
    <mergeCell ref="E9:F9"/>
    <mergeCell ref="C10:D10"/>
    <mergeCell ref="E10:F10"/>
  </mergeCells>
  <conditionalFormatting sqref="I19:I62">
    <cfRule type="cellIs" dxfId="19" priority="4" operator="between">
      <formula>0.75</formula>
      <formula>1</formula>
    </cfRule>
    <cfRule type="cellIs" dxfId="18" priority="5" operator="between">
      <formula>0.5</formula>
      <formula>0.74</formula>
    </cfRule>
    <cfRule type="cellIs" dxfId="17" priority="6" operator="between">
      <formula>0</formula>
      <formula>0.49</formula>
    </cfRule>
  </conditionalFormatting>
  <conditionalFormatting sqref="J53 J19:J31 J46 J41">
    <cfRule type="cellIs" priority="1" operator="between">
      <formula>0.75</formula>
      <formula>1</formula>
    </cfRule>
    <cfRule type="cellIs" dxfId="16" priority="2" operator="between">
      <formula>0.5</formula>
      <formula>0.75</formula>
    </cfRule>
    <cfRule type="cellIs" dxfId="15" priority="3" operator="between">
      <formula>0</formula>
      <formula>0.49</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7" operator="containsText" id="{B5EC0094-D2B5-49BB-B6F9-E988382E1263}">
            <xm:f>NOT(ISERROR(SEARCH($E$12,G19)))</xm:f>
            <xm:f>$E$12</xm:f>
            <x14:dxf>
              <fill>
                <patternFill>
                  <bgColor rgb="FFFF0000"/>
                </patternFill>
              </fill>
            </x14:dxf>
          </x14:cfRule>
          <x14:cfRule type="containsText" priority="8" operator="containsText" id="{D802A135-824D-43A0-835B-FE63514274DE}">
            <xm:f>NOT(ISERROR(SEARCH($E$11,G19)))</xm:f>
            <xm:f>$E$11</xm:f>
            <x14:dxf>
              <fill>
                <patternFill>
                  <bgColor rgb="FFFFFF00"/>
                </patternFill>
              </fill>
            </x14:dxf>
          </x14:cfRule>
          <x14:cfRule type="containsText" priority="9" operator="containsText" id="{D7844022-1CB2-4683-9B09-8D3EA8F0FDED}">
            <xm:f>NOT(ISERROR(SEARCH($E$10,G19)))</xm:f>
            <xm:f>$E$10</xm:f>
            <x14:dxf>
              <fill>
                <patternFill>
                  <bgColor rgb="FF00B050"/>
                </patternFill>
              </fill>
            </x14:dxf>
          </x14:cfRule>
          <xm:sqref>G19:G62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41"/>
  <sheetViews>
    <sheetView tabSelected="1" zoomScale="64" zoomScaleNormal="64" workbookViewId="0">
      <selection activeCell="J51" sqref="J51"/>
    </sheetView>
  </sheetViews>
  <sheetFormatPr defaultColWidth="11.42578125" defaultRowHeight="14.45"/>
  <cols>
    <col min="1" max="1" width="4.42578125" customWidth="1"/>
    <col min="3" max="3" width="35.5703125" customWidth="1"/>
    <col min="4" max="4" width="13" customWidth="1"/>
    <col min="5" max="5" width="43.28515625" customWidth="1"/>
    <col min="7" max="7" width="33.85546875" customWidth="1"/>
    <col min="9" max="9" width="92.28515625" customWidth="1"/>
    <col min="13" max="13" width="29" customWidth="1"/>
  </cols>
  <sheetData>
    <row r="1" spans="1:17" s="1" customFormat="1"/>
    <row r="2" spans="1:17" ht="15" thickBot="1">
      <c r="A2" s="1"/>
      <c r="B2" s="1"/>
      <c r="C2" s="1"/>
      <c r="D2" s="1"/>
      <c r="E2" s="1"/>
      <c r="F2" s="1"/>
      <c r="G2" s="1"/>
      <c r="H2" s="1"/>
      <c r="I2" s="1"/>
      <c r="J2" s="1"/>
      <c r="K2" s="1"/>
      <c r="L2" s="1"/>
      <c r="M2" s="1"/>
      <c r="N2" s="1"/>
      <c r="O2" s="1"/>
      <c r="P2" s="1"/>
      <c r="Q2" s="1"/>
    </row>
    <row r="3" spans="1:17" ht="15" thickTop="1">
      <c r="A3" s="1"/>
      <c r="B3" s="2"/>
      <c r="C3" s="3"/>
      <c r="D3" s="3"/>
      <c r="E3" s="3"/>
      <c r="F3" s="3"/>
      <c r="G3" s="3"/>
      <c r="H3" s="3"/>
      <c r="I3" s="3"/>
      <c r="J3" s="3"/>
      <c r="K3" s="3"/>
      <c r="L3" s="3"/>
      <c r="M3" s="3"/>
      <c r="N3" s="3"/>
      <c r="O3" s="3"/>
      <c r="P3" s="4"/>
      <c r="Q3" s="1"/>
    </row>
    <row r="4" spans="1:17">
      <c r="A4" s="1"/>
      <c r="B4" s="5"/>
      <c r="C4" s="1"/>
      <c r="D4" s="1"/>
      <c r="E4" s="295" t="s">
        <v>166</v>
      </c>
      <c r="F4" s="297" t="s">
        <v>167</v>
      </c>
      <c r="G4" s="297"/>
      <c r="H4" s="297"/>
      <c r="I4" s="297"/>
      <c r="J4" s="297"/>
      <c r="K4" s="297"/>
      <c r="L4" s="297"/>
      <c r="M4" s="297"/>
      <c r="N4" s="6"/>
      <c r="O4" s="6"/>
      <c r="P4" s="7"/>
      <c r="Q4" s="1"/>
    </row>
    <row r="5" spans="1:17" ht="45.75" customHeight="1">
      <c r="A5" s="1"/>
      <c r="B5" s="5"/>
      <c r="C5" s="1"/>
      <c r="D5" s="1"/>
      <c r="E5" s="296"/>
      <c r="F5" s="297"/>
      <c r="G5" s="297"/>
      <c r="H5" s="297"/>
      <c r="I5" s="297"/>
      <c r="J5" s="297"/>
      <c r="K5" s="297"/>
      <c r="L5" s="297"/>
      <c r="M5" s="297"/>
      <c r="N5" s="6"/>
      <c r="O5" s="6"/>
      <c r="P5" s="7"/>
      <c r="Q5" s="1"/>
    </row>
    <row r="6" spans="1:17" ht="66.75" customHeight="1">
      <c r="A6" s="1"/>
      <c r="B6" s="5"/>
      <c r="C6" s="1"/>
      <c r="D6" s="1"/>
      <c r="E6" s="88" t="s">
        <v>168</v>
      </c>
      <c r="F6" s="298" t="s">
        <v>169</v>
      </c>
      <c r="G6" s="299"/>
      <c r="H6" s="299"/>
      <c r="I6" s="299"/>
      <c r="J6" s="299"/>
      <c r="K6" s="299"/>
      <c r="L6" s="299"/>
      <c r="M6" s="300"/>
      <c r="N6" s="8"/>
      <c r="O6" s="8"/>
      <c r="P6" s="7"/>
      <c r="Q6" s="1"/>
    </row>
    <row r="7" spans="1:17" ht="15" thickBot="1">
      <c r="A7" s="1"/>
      <c r="B7" s="5"/>
      <c r="C7" s="1"/>
      <c r="D7" s="1"/>
      <c r="E7" s="9"/>
      <c r="F7" s="8"/>
      <c r="G7" s="8"/>
      <c r="H7" s="8"/>
      <c r="I7" s="8"/>
      <c r="J7" s="8"/>
      <c r="K7" s="8"/>
      <c r="L7" s="8"/>
      <c r="M7" s="1"/>
      <c r="N7" s="1"/>
      <c r="O7" s="1"/>
      <c r="P7" s="7"/>
      <c r="Q7" s="1"/>
    </row>
    <row r="8" spans="1:17" ht="97.5" customHeight="1" thickBot="1">
      <c r="A8" s="1"/>
      <c r="B8" s="5"/>
      <c r="C8" s="1"/>
      <c r="D8" s="1"/>
      <c r="E8" s="1"/>
      <c r="F8" s="1"/>
      <c r="G8" s="1"/>
      <c r="H8" s="1"/>
      <c r="I8" s="301" t="s">
        <v>170</v>
      </c>
      <c r="J8" s="302"/>
      <c r="K8" s="303"/>
      <c r="L8" s="1"/>
      <c r="M8" s="137">
        <f>+AVERAGE(G26,G28,G30,G32,G34)</f>
        <v>1</v>
      </c>
      <c r="N8" s="10"/>
      <c r="O8" s="10"/>
      <c r="P8" s="7"/>
      <c r="Q8" s="1"/>
    </row>
    <row r="9" spans="1:17" ht="15.6">
      <c r="A9" s="1"/>
      <c r="B9" s="5"/>
      <c r="C9" s="1"/>
      <c r="D9" s="1"/>
      <c r="E9" s="1"/>
      <c r="F9" s="1"/>
      <c r="G9" s="1"/>
      <c r="H9" s="1"/>
      <c r="I9" s="1"/>
      <c r="J9" s="1"/>
      <c r="K9" s="1"/>
      <c r="L9" s="1"/>
      <c r="M9" s="11"/>
      <c r="N9" s="11"/>
      <c r="O9" s="11"/>
      <c r="P9" s="7"/>
      <c r="Q9" s="1"/>
    </row>
    <row r="10" spans="1:17">
      <c r="A10" s="1"/>
      <c r="B10" s="5"/>
      <c r="C10" s="1"/>
      <c r="D10" s="1"/>
      <c r="E10" s="1"/>
      <c r="F10" s="1"/>
      <c r="G10" s="1"/>
      <c r="H10" s="1"/>
      <c r="I10" s="1"/>
      <c r="J10" s="1"/>
      <c r="K10" s="1"/>
      <c r="L10" s="1"/>
      <c r="M10" s="1"/>
      <c r="N10" s="1"/>
      <c r="O10" s="1"/>
      <c r="P10" s="7"/>
      <c r="Q10" s="1"/>
    </row>
    <row r="11" spans="1:17">
      <c r="A11" s="1"/>
      <c r="B11" s="5"/>
      <c r="C11" s="1"/>
      <c r="D11" s="1"/>
      <c r="E11" s="1"/>
      <c r="F11" s="1"/>
      <c r="G11" s="1"/>
      <c r="H11" s="1"/>
      <c r="I11" s="1"/>
      <c r="J11" s="1"/>
      <c r="K11" s="1"/>
      <c r="L11" s="1"/>
      <c r="M11" s="1"/>
      <c r="N11" s="1"/>
      <c r="O11" s="1"/>
      <c r="P11" s="7"/>
      <c r="Q11" s="1"/>
    </row>
    <row r="12" spans="1:17">
      <c r="A12" s="1"/>
      <c r="B12" s="5"/>
      <c r="C12" s="1"/>
      <c r="D12" s="1"/>
      <c r="E12" s="1"/>
      <c r="F12" s="1"/>
      <c r="G12" s="1"/>
      <c r="H12" s="1"/>
      <c r="I12" s="1"/>
      <c r="J12" s="1"/>
      <c r="K12" s="1"/>
      <c r="L12" s="1"/>
      <c r="M12" s="1"/>
      <c r="N12" s="1"/>
      <c r="O12" s="1"/>
      <c r="P12" s="7"/>
      <c r="Q12" s="1"/>
    </row>
    <row r="13" spans="1:17">
      <c r="A13" s="1"/>
      <c r="B13" s="5"/>
      <c r="C13" s="1"/>
      <c r="D13" s="1"/>
      <c r="E13" s="1"/>
      <c r="F13" s="1"/>
      <c r="G13" s="1"/>
      <c r="H13" s="1"/>
      <c r="I13" s="1"/>
      <c r="J13" s="1"/>
      <c r="K13" s="1"/>
      <c r="L13" s="1"/>
      <c r="M13" s="1"/>
      <c r="N13" s="1"/>
      <c r="O13" s="1"/>
      <c r="P13" s="7"/>
      <c r="Q13" s="1"/>
    </row>
    <row r="14" spans="1:17">
      <c r="A14" s="1"/>
      <c r="B14" s="5"/>
      <c r="C14" s="1"/>
      <c r="D14" s="1"/>
      <c r="E14" s="1"/>
      <c r="F14" s="1"/>
      <c r="G14" s="1"/>
      <c r="H14" s="1"/>
      <c r="I14" s="1"/>
      <c r="J14" s="1"/>
      <c r="K14" s="1"/>
      <c r="L14" s="1"/>
      <c r="M14" s="1"/>
      <c r="N14" s="1"/>
      <c r="O14" s="1"/>
      <c r="P14" s="7"/>
      <c r="Q14" s="1"/>
    </row>
    <row r="15" spans="1:17">
      <c r="A15" s="1"/>
      <c r="B15" s="5"/>
      <c r="C15" s="1"/>
      <c r="D15" s="1"/>
      <c r="E15" s="1"/>
      <c r="F15" s="1"/>
      <c r="G15" s="1"/>
      <c r="H15" s="1"/>
      <c r="I15" s="1"/>
      <c r="J15" s="1"/>
      <c r="K15" s="1"/>
      <c r="L15" s="1"/>
      <c r="M15" s="1"/>
      <c r="N15" s="1"/>
      <c r="O15" s="1"/>
      <c r="P15" s="7"/>
      <c r="Q15" s="1"/>
    </row>
    <row r="16" spans="1:17">
      <c r="A16" s="1"/>
      <c r="B16" s="5"/>
      <c r="C16" s="1"/>
      <c r="D16" s="1"/>
      <c r="E16" s="1"/>
      <c r="F16" s="1"/>
      <c r="G16" s="1"/>
      <c r="H16" s="1"/>
      <c r="I16" s="1"/>
      <c r="J16" s="1"/>
      <c r="K16" s="1"/>
      <c r="L16" s="1"/>
      <c r="M16" s="1"/>
      <c r="N16" s="1"/>
      <c r="O16" s="1"/>
      <c r="P16" s="7"/>
      <c r="Q16" s="1"/>
    </row>
    <row r="17" spans="1:17">
      <c r="A17" s="1"/>
      <c r="B17" s="5"/>
      <c r="C17" s="1"/>
      <c r="D17" s="1"/>
      <c r="E17" s="1"/>
      <c r="F17" s="1"/>
      <c r="G17" s="1"/>
      <c r="H17" s="1"/>
      <c r="I17" s="1"/>
      <c r="J17" s="1"/>
      <c r="K17" s="1"/>
      <c r="L17" s="1"/>
      <c r="M17" s="1"/>
      <c r="N17" s="1"/>
      <c r="O17" s="1"/>
      <c r="P17" s="7"/>
      <c r="Q17" s="1"/>
    </row>
    <row r="18" spans="1:17" ht="22.9">
      <c r="A18" s="1"/>
      <c r="B18" s="5"/>
      <c r="C18" s="304" t="s">
        <v>171</v>
      </c>
      <c r="D18" s="305"/>
      <c r="E18" s="305"/>
      <c r="F18" s="305"/>
      <c r="G18" s="305"/>
      <c r="H18" s="305"/>
      <c r="I18" s="305"/>
      <c r="J18" s="305"/>
      <c r="K18" s="305"/>
      <c r="L18" s="305"/>
      <c r="M18" s="306"/>
      <c r="N18" s="12"/>
      <c r="O18" s="12"/>
      <c r="P18" s="7"/>
      <c r="Q18" s="1"/>
    </row>
    <row r="19" spans="1:17" ht="16.149999999999999" thickBot="1">
      <c r="A19" s="1"/>
      <c r="B19" s="5"/>
      <c r="C19" s="13"/>
      <c r="D19" s="13"/>
      <c r="E19" s="13"/>
      <c r="F19" s="13"/>
      <c r="G19" s="13"/>
      <c r="H19" s="13"/>
      <c r="I19" s="13"/>
      <c r="J19" s="13"/>
      <c r="K19" s="13"/>
      <c r="L19" s="13"/>
      <c r="M19" s="13"/>
      <c r="N19" s="14"/>
      <c r="O19" s="14"/>
      <c r="P19" s="7"/>
      <c r="Q19" s="1"/>
    </row>
    <row r="20" spans="1:17" ht="76.5" customHeight="1">
      <c r="A20" s="1"/>
      <c r="B20" s="5"/>
      <c r="C20" s="307" t="s">
        <v>172</v>
      </c>
      <c r="D20" s="308"/>
      <c r="E20" s="140" t="s">
        <v>36</v>
      </c>
      <c r="F20" s="309" t="s">
        <v>173</v>
      </c>
      <c r="G20" s="309"/>
      <c r="H20" s="309"/>
      <c r="I20" s="309"/>
      <c r="J20" s="309"/>
      <c r="K20" s="309"/>
      <c r="L20" s="309"/>
      <c r="M20" s="310"/>
      <c r="N20" s="14"/>
      <c r="O20" s="14"/>
      <c r="P20" s="7"/>
      <c r="Q20" s="1"/>
    </row>
    <row r="21" spans="1:17" ht="96.75" customHeight="1">
      <c r="A21" s="1"/>
      <c r="B21" s="5"/>
      <c r="C21" s="291" t="s">
        <v>174</v>
      </c>
      <c r="D21" s="292"/>
      <c r="E21" s="141" t="s">
        <v>36</v>
      </c>
      <c r="F21" s="311" t="s">
        <v>175</v>
      </c>
      <c r="G21" s="311"/>
      <c r="H21" s="311"/>
      <c r="I21" s="311"/>
      <c r="J21" s="311"/>
      <c r="K21" s="311"/>
      <c r="L21" s="311"/>
      <c r="M21" s="312"/>
      <c r="N21" s="14"/>
      <c r="O21" s="14"/>
      <c r="P21" s="7"/>
      <c r="Q21" s="1"/>
    </row>
    <row r="22" spans="1:17" ht="120.75" customHeight="1" thickBot="1">
      <c r="A22" s="1"/>
      <c r="B22" s="5"/>
      <c r="C22" s="293" t="s">
        <v>176</v>
      </c>
      <c r="D22" s="294"/>
      <c r="E22" s="142" t="s">
        <v>36</v>
      </c>
      <c r="F22" s="313" t="s">
        <v>177</v>
      </c>
      <c r="G22" s="313"/>
      <c r="H22" s="313"/>
      <c r="I22" s="313"/>
      <c r="J22" s="313"/>
      <c r="K22" s="313"/>
      <c r="L22" s="313"/>
      <c r="M22" s="314"/>
      <c r="N22" s="14"/>
      <c r="O22" s="14"/>
      <c r="P22" s="7"/>
      <c r="Q22" s="1"/>
    </row>
    <row r="23" spans="1:17">
      <c r="A23" s="1"/>
      <c r="B23" s="5"/>
      <c r="C23" s="1"/>
      <c r="D23" s="1"/>
      <c r="E23" s="1"/>
      <c r="F23" s="1"/>
      <c r="G23" s="15"/>
      <c r="H23" s="1"/>
      <c r="I23" s="1"/>
      <c r="J23" s="1"/>
      <c r="K23" s="1"/>
      <c r="L23" s="1"/>
      <c r="M23" s="1"/>
      <c r="N23" s="1"/>
      <c r="O23" s="1"/>
      <c r="P23" s="7"/>
      <c r="Q23" s="1"/>
    </row>
    <row r="24" spans="1:17" ht="73.900000000000006">
      <c r="A24" s="1"/>
      <c r="B24" s="5"/>
      <c r="C24" s="91" t="s">
        <v>178</v>
      </c>
      <c r="D24" s="92"/>
      <c r="E24" s="91" t="s">
        <v>179</v>
      </c>
      <c r="F24" s="92"/>
      <c r="G24" s="91" t="s">
        <v>180</v>
      </c>
      <c r="H24" s="92"/>
      <c r="I24" s="288" t="s">
        <v>181</v>
      </c>
      <c r="J24" s="288"/>
      <c r="K24" s="288"/>
      <c r="L24" s="288"/>
      <c r="M24" s="288"/>
      <c r="N24" s="30"/>
      <c r="O24" s="30"/>
      <c r="P24" s="7"/>
      <c r="Q24" s="16"/>
    </row>
    <row r="25" spans="1:17" ht="13.5" customHeight="1" thickBot="1">
      <c r="A25" s="1"/>
      <c r="B25" s="5"/>
      <c r="C25" s="29"/>
      <c r="I25" s="289"/>
      <c r="J25" s="289"/>
      <c r="K25" s="289"/>
      <c r="L25" s="289"/>
      <c r="M25" s="289"/>
      <c r="N25" s="31"/>
      <c r="O25" s="31"/>
      <c r="P25" s="7"/>
      <c r="Q25" s="1"/>
    </row>
    <row r="26" spans="1:17" ht="155.25" customHeight="1" thickBot="1">
      <c r="A26" s="1"/>
      <c r="B26" s="5"/>
      <c r="C26" s="82" t="s">
        <v>32</v>
      </c>
      <c r="D26" s="17"/>
      <c r="E26" s="138" t="str">
        <f>+IF(Hoja1!K2&gt;=0.5,"Si","No")</f>
        <v>Si</v>
      </c>
      <c r="F26" s="18"/>
      <c r="G26" s="139">
        <f>+Hoja1!K2</f>
        <v>1</v>
      </c>
      <c r="H26" s="18"/>
      <c r="I26" s="285" t="s">
        <v>182</v>
      </c>
      <c r="J26" s="286"/>
      <c r="K26" s="286"/>
      <c r="L26" s="286"/>
      <c r="M26" s="287"/>
      <c r="N26" s="32"/>
      <c r="O26" s="33"/>
      <c r="P26" s="19"/>
      <c r="Q26" s="20"/>
    </row>
    <row r="27" spans="1:17" ht="26.45" thickBot="1">
      <c r="A27" s="1"/>
      <c r="B27" s="5"/>
      <c r="C27" s="83"/>
      <c r="E27" s="90"/>
      <c r="G27" s="21"/>
      <c r="I27" s="290"/>
      <c r="J27" s="290"/>
      <c r="K27" s="290"/>
      <c r="L27" s="290"/>
      <c r="M27" s="290"/>
      <c r="N27" s="34"/>
      <c r="O27" s="34"/>
      <c r="P27" s="7"/>
      <c r="Q27" s="1"/>
    </row>
    <row r="28" spans="1:17" ht="151.5" customHeight="1" thickBot="1">
      <c r="A28" s="1"/>
      <c r="B28" s="5"/>
      <c r="C28" s="84" t="s">
        <v>183</v>
      </c>
      <c r="D28" s="17"/>
      <c r="E28" s="138" t="str">
        <f>+IF(Hoja1!K14&gt;=0.5,"Si","No")</f>
        <v>Si</v>
      </c>
      <c r="G28" s="139">
        <f>+Hoja1!K14</f>
        <v>1</v>
      </c>
      <c r="I28" s="285" t="s">
        <v>184</v>
      </c>
      <c r="J28" s="286"/>
      <c r="K28" s="286"/>
      <c r="L28" s="286"/>
      <c r="M28" s="287"/>
      <c r="N28" s="32"/>
      <c r="O28" s="32"/>
      <c r="P28" s="7"/>
      <c r="Q28" s="1"/>
    </row>
    <row r="29" spans="1:17" ht="26.45" thickBot="1">
      <c r="A29" s="1"/>
      <c r="B29" s="5"/>
      <c r="C29" s="83"/>
      <c r="E29" s="90"/>
      <c r="G29" s="21"/>
      <c r="I29" s="290"/>
      <c r="J29" s="290"/>
      <c r="K29" s="290"/>
      <c r="L29" s="290"/>
      <c r="M29" s="290"/>
      <c r="N29" s="34"/>
      <c r="O29" s="34"/>
      <c r="P29" s="7"/>
      <c r="Q29" s="1"/>
    </row>
    <row r="30" spans="1:17" ht="141.75" customHeight="1" thickBot="1">
      <c r="A30" s="1"/>
      <c r="B30" s="5"/>
      <c r="C30" s="85" t="s">
        <v>185</v>
      </c>
      <c r="D30" s="17"/>
      <c r="E30" s="138" t="str">
        <f>+IF(Hoja1!K24&gt;=0.5,"Si","No")</f>
        <v>Si</v>
      </c>
      <c r="G30" s="139">
        <f>+Hoja1!K24</f>
        <v>1</v>
      </c>
      <c r="I30" s="285" t="s">
        <v>186</v>
      </c>
      <c r="J30" s="286"/>
      <c r="K30" s="286"/>
      <c r="L30" s="286"/>
      <c r="M30" s="287"/>
      <c r="N30" s="32"/>
      <c r="O30" s="32"/>
      <c r="P30" s="7"/>
      <c r="Q30" s="1"/>
    </row>
    <row r="31" spans="1:17" ht="26.45" thickBot="1">
      <c r="A31" s="1"/>
      <c r="B31" s="5"/>
      <c r="C31" s="83"/>
      <c r="E31" s="90"/>
      <c r="G31" s="21"/>
      <c r="I31" s="290"/>
      <c r="J31" s="290"/>
      <c r="K31" s="290"/>
      <c r="L31" s="290"/>
      <c r="M31" s="290"/>
      <c r="N31" s="34"/>
      <c r="O31" s="34"/>
      <c r="P31" s="7"/>
      <c r="Q31" s="1"/>
    </row>
    <row r="32" spans="1:17" ht="171" customHeight="1" thickBot="1">
      <c r="A32" s="1"/>
      <c r="B32" s="5"/>
      <c r="C32" s="86" t="s">
        <v>112</v>
      </c>
      <c r="D32" s="17"/>
      <c r="E32" s="138" t="str">
        <f>+IF(Hoja1!K29&gt;=0.5,"Si","No")</f>
        <v>Si</v>
      </c>
      <c r="G32" s="139">
        <f>+Hoja1!K29</f>
        <v>1</v>
      </c>
      <c r="I32" s="285" t="s">
        <v>187</v>
      </c>
      <c r="J32" s="286"/>
      <c r="K32" s="286"/>
      <c r="L32" s="286"/>
      <c r="M32" s="287"/>
      <c r="N32" s="32"/>
      <c r="O32" s="32"/>
      <c r="P32" s="7"/>
      <c r="Q32" s="1"/>
    </row>
    <row r="33" spans="1:17" ht="26.45" thickBot="1">
      <c r="A33" s="1"/>
      <c r="B33" s="5"/>
      <c r="C33" s="83"/>
      <c r="E33" s="90"/>
      <c r="G33" s="21"/>
      <c r="I33" s="290"/>
      <c r="J33" s="290"/>
      <c r="K33" s="290"/>
      <c r="L33" s="290"/>
      <c r="M33" s="290"/>
      <c r="N33" s="34"/>
      <c r="O33" s="34"/>
      <c r="P33" s="7"/>
      <c r="Q33" s="1"/>
    </row>
    <row r="34" spans="1:17" ht="164.25" customHeight="1" thickBot="1">
      <c r="A34" s="1"/>
      <c r="B34" s="5"/>
      <c r="C34" s="87" t="s">
        <v>188</v>
      </c>
      <c r="D34" s="17"/>
      <c r="E34" s="89" t="str">
        <f>+IF(Hoja1!K36&gt;=0.5,"Si","No")</f>
        <v>Si</v>
      </c>
      <c r="G34" s="139">
        <f>+Hoja1!K36</f>
        <v>1</v>
      </c>
      <c r="I34" s="285" t="s">
        <v>189</v>
      </c>
      <c r="J34" s="286"/>
      <c r="K34" s="286"/>
      <c r="L34" s="286"/>
      <c r="M34" s="287"/>
      <c r="N34" s="32"/>
      <c r="O34" s="32"/>
      <c r="P34" s="7"/>
      <c r="Q34" s="1"/>
    </row>
    <row r="35" spans="1:17" ht="15.6">
      <c r="A35" s="1"/>
      <c r="B35" s="5"/>
      <c r="C35" s="22"/>
      <c r="D35" s="22"/>
      <c r="E35" s="14"/>
      <c r="F35" s="1"/>
      <c r="G35" s="1"/>
      <c r="H35" s="1"/>
      <c r="I35" s="1"/>
      <c r="J35" s="1"/>
      <c r="K35" s="1"/>
      <c r="L35" s="1"/>
      <c r="M35" s="23"/>
      <c r="N35" s="23"/>
      <c r="O35" s="23"/>
      <c r="P35" s="7"/>
      <c r="Q35" s="1"/>
    </row>
    <row r="36" spans="1:17" ht="15.6">
      <c r="A36" s="1"/>
      <c r="B36" s="5"/>
      <c r="C36" s="24"/>
      <c r="D36" s="22"/>
      <c r="E36" s="14"/>
      <c r="F36" s="1"/>
      <c r="G36" s="1"/>
      <c r="H36" s="1"/>
      <c r="I36" s="1"/>
      <c r="J36" s="1"/>
      <c r="K36" s="1"/>
      <c r="L36" s="1"/>
      <c r="M36" s="23"/>
      <c r="N36" s="23"/>
      <c r="O36" s="23"/>
      <c r="P36" s="7"/>
      <c r="Q36" s="1"/>
    </row>
    <row r="37" spans="1:17">
      <c r="A37" s="1"/>
      <c r="B37" s="5"/>
      <c r="C37" s="25"/>
      <c r="D37" s="1"/>
      <c r="E37" s="1"/>
      <c r="F37" s="1"/>
      <c r="G37" s="1"/>
      <c r="H37" s="1"/>
      <c r="I37" s="1"/>
      <c r="J37" s="1"/>
      <c r="K37" s="1"/>
      <c r="L37" s="1"/>
      <c r="M37" s="1"/>
      <c r="N37" s="1"/>
      <c r="O37" s="1"/>
      <c r="P37" s="7"/>
      <c r="Q37" s="1"/>
    </row>
    <row r="38" spans="1:17" ht="15" thickBot="1">
      <c r="A38" s="1"/>
      <c r="B38" s="26"/>
      <c r="C38" s="27"/>
      <c r="D38" s="27"/>
      <c r="E38" s="27"/>
      <c r="F38" s="27"/>
      <c r="G38" s="27"/>
      <c r="H38" s="27"/>
      <c r="I38" s="27"/>
      <c r="J38" s="27"/>
      <c r="K38" s="27"/>
      <c r="L38" s="27"/>
      <c r="M38" s="27"/>
      <c r="N38" s="27"/>
      <c r="O38" s="27"/>
      <c r="P38" s="28"/>
      <c r="Q38" s="1"/>
    </row>
    <row r="39" spans="1:17" ht="15" thickTop="1">
      <c r="A39" s="1"/>
      <c r="B39" s="1"/>
      <c r="C39" s="1"/>
      <c r="D39" s="1"/>
      <c r="E39" s="1"/>
      <c r="F39" s="1"/>
      <c r="G39" s="1"/>
      <c r="H39" s="1"/>
      <c r="I39" s="1"/>
      <c r="J39" s="1"/>
      <c r="K39" s="1"/>
      <c r="L39" s="1"/>
      <c r="M39" s="1"/>
      <c r="N39" s="1"/>
      <c r="O39" s="1"/>
      <c r="P39" s="1"/>
      <c r="Q39" s="1"/>
    </row>
    <row r="40" spans="1:17">
      <c r="A40" s="1"/>
      <c r="B40" s="1"/>
      <c r="C40" s="1"/>
      <c r="D40" s="1"/>
      <c r="E40" s="1"/>
      <c r="F40" s="1"/>
      <c r="G40" s="1"/>
      <c r="H40" s="1"/>
      <c r="I40" s="1"/>
      <c r="J40" s="1"/>
      <c r="K40" s="1"/>
      <c r="L40" s="1"/>
      <c r="M40" s="1"/>
      <c r="N40" s="1"/>
      <c r="O40" s="1"/>
      <c r="P40" s="1"/>
      <c r="Q40" s="1"/>
    </row>
    <row r="41" spans="1:17">
      <c r="A41" s="1"/>
      <c r="B41" s="1"/>
      <c r="C41" s="1"/>
      <c r="D41" s="1"/>
      <c r="E41" s="1"/>
      <c r="F41" s="1"/>
      <c r="G41" s="1"/>
      <c r="H41" s="1"/>
      <c r="I41" s="1"/>
      <c r="J41" s="1"/>
      <c r="K41" s="1"/>
      <c r="L41" s="1"/>
      <c r="M41" s="1"/>
      <c r="N41" s="1"/>
      <c r="O41" s="1"/>
      <c r="P41" s="1"/>
      <c r="Q41" s="1"/>
    </row>
  </sheetData>
  <sheetProtection algorithmName="SHA-512" hashValue="mur5Q3PEaZxn8LXLz/eSymodHMyMcb7gr8gXWBwpSU/m7uV0ZPVWkcKOdJlg0OS/SXBXX9P/iBb2vTO1mWy68A==" saltValue="abZlHLcGIMQMz4F8z7vkTw==" spinCount="100000" sheet="1" objects="1" scenarios="1" formatCells="0" formatRows="0"/>
  <mergeCells count="22">
    <mergeCell ref="C21:D21"/>
    <mergeCell ref="C22:D22"/>
    <mergeCell ref="E4:E5"/>
    <mergeCell ref="F4:M5"/>
    <mergeCell ref="F6:M6"/>
    <mergeCell ref="I8:K8"/>
    <mergeCell ref="C18:M18"/>
    <mergeCell ref="C20:D20"/>
    <mergeCell ref="F20:M20"/>
    <mergeCell ref="F21:M21"/>
    <mergeCell ref="F22:M22"/>
    <mergeCell ref="I34:M34"/>
    <mergeCell ref="I30:M30"/>
    <mergeCell ref="I32:M32"/>
    <mergeCell ref="I24:M24"/>
    <mergeCell ref="I26:M26"/>
    <mergeCell ref="I28:M28"/>
    <mergeCell ref="I25:M25"/>
    <mergeCell ref="I27:M27"/>
    <mergeCell ref="I29:M29"/>
    <mergeCell ref="I31:M31"/>
    <mergeCell ref="I33:M33"/>
  </mergeCells>
  <conditionalFormatting sqref="G26 G28 G30 G32 G34">
    <cfRule type="cellIs" priority="4" operator="between">
      <formula>0.75</formula>
      <formula>1</formula>
    </cfRule>
    <cfRule type="cellIs" dxfId="11" priority="5" operator="between">
      <formula>0.5</formula>
      <formula>0.75</formula>
    </cfRule>
    <cfRule type="cellIs" dxfId="10" priority="6" operator="between">
      <formula>0</formula>
      <formula>0.49</formula>
    </cfRule>
    <cfRule type="cellIs" dxfId="9" priority="31" operator="between">
      <formula>0.76</formula>
      <formula>1</formula>
    </cfRule>
    <cfRule type="cellIs" dxfId="8" priority="32" operator="between">
      <formula>0.51</formula>
      <formula>0.75</formula>
    </cfRule>
    <cfRule type="cellIs" dxfId="7" priority="33" operator="between">
      <formula>0.26</formula>
      <formula>0.5</formula>
    </cfRule>
  </conditionalFormatting>
  <conditionalFormatting sqref="M8">
    <cfRule type="cellIs" dxfId="6" priority="1" operator="between">
      <formula>0.75</formula>
      <formula>1</formula>
    </cfRule>
    <cfRule type="cellIs" dxfId="5" priority="2" operator="between">
      <formula>0.5</formula>
      <formula>0.75</formula>
    </cfRule>
    <cfRule type="cellIs" dxfId="4" priority="3" operator="between">
      <formula>0</formula>
      <formula>0.49</formula>
    </cfRule>
    <cfRule type="cellIs" priority="27" operator="between">
      <formula>0.76</formula>
      <formula>1</formula>
    </cfRule>
    <cfRule type="cellIs" dxfId="3" priority="28" operator="between">
      <formula>0.51</formula>
      <formula>0.75</formula>
    </cfRule>
    <cfRule type="cellIs" dxfId="2" priority="29" operator="between">
      <formula>0.26</formula>
      <formula>0.5</formula>
    </cfRule>
    <cfRule type="cellIs" dxfId="1" priority="30" operator="between">
      <formula>0</formula>
      <formula>0.25</formula>
    </cfRule>
  </conditionalFormatting>
  <dataValidations count="3">
    <dataValidation type="list" allowBlank="1" showInputMessage="1" showErrorMessage="1" sqref="E21:E22" xr:uid="{00000000-0002-0000-0300-000000000000}">
      <formula1>"Si, No"</formula1>
    </dataValidation>
    <dataValidation allowBlank="1" showInputMessage="1" showErrorMessage="1" prompt="Celda formulada, información proveniente de la pestaña de deficiencias." sqref="E24" xr:uid="{00000000-0002-0000-0300-000001000000}"/>
    <dataValidation type="list" allowBlank="1" showInputMessage="1" showErrorMessage="1" sqref="E20" xr:uid="{00000000-0002-0000-0300-000002000000}">
      <formula1>"Si,En proceso,No"</formula1>
    </dataValidation>
  </dataValidations>
  <pageMargins left="0.7" right="0.7" top="0.75" bottom="0.75" header="0.3" footer="0.3"/>
  <pageSetup orientation="portrait" horizontalDpi="300" verticalDpi="300" r:id="rId1"/>
  <drawing r:id="rId2"/>
  <extLst>
    <ext xmlns:x14="http://schemas.microsoft.com/office/spreadsheetml/2009/9/main" uri="{78C0D931-6437-407d-A8EE-F0AAD7539E65}">
      <x14:conditionalFormattings>
        <x14:conditionalFormatting xmlns:xm="http://schemas.microsoft.com/office/excel/2006/main">
          <x14:cfRule type="cellIs" priority="34" operator="between" id="{7ADAD4B9-72C7-4518-BD8A-A7D8DD349CD9}">
            <xm:f>0</xm:f>
            <xm:f>'https://365and.sharepoint.com/Users/dell/Desktop/cesar/HISTORICOS/[2020-04-22_Formato_informe_sci_parametrizado_final.xlsx]Analisis de Resultados'!#REF!</xm:f>
            <x14:dxf>
              <fill>
                <patternFill>
                  <bgColor rgb="FFFF0000"/>
                </patternFill>
              </fill>
            </x14:dxf>
          </x14:cfRule>
          <xm:sqref>G26 G28 G30 G32 G34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45"/>
  <sheetViews>
    <sheetView workbookViewId="0">
      <selection activeCell="F2" sqref="F2"/>
    </sheetView>
  </sheetViews>
  <sheetFormatPr defaultColWidth="11.42578125" defaultRowHeight="14.45"/>
  <cols>
    <col min="2" max="2" width="31" bestFit="1" customWidth="1"/>
    <col min="3" max="3" width="17.140625" customWidth="1"/>
    <col min="5" max="5" width="15.140625" customWidth="1"/>
    <col min="10" max="10" width="15.7109375" customWidth="1"/>
    <col min="11" max="11" width="12" bestFit="1" customWidth="1"/>
  </cols>
  <sheetData>
    <row r="1" spans="1:11" ht="84.75" customHeight="1">
      <c r="A1" s="143" t="s">
        <v>25</v>
      </c>
      <c r="B1" s="143" t="s">
        <v>6</v>
      </c>
      <c r="C1" s="144" t="s">
        <v>8</v>
      </c>
      <c r="D1" s="145" t="s">
        <v>26</v>
      </c>
      <c r="E1" s="145" t="s">
        <v>27</v>
      </c>
      <c r="F1" s="145" t="s">
        <v>190</v>
      </c>
      <c r="G1" s="146" t="s">
        <v>191</v>
      </c>
      <c r="H1" s="146" t="s">
        <v>192</v>
      </c>
      <c r="I1" s="146" t="s">
        <v>161</v>
      </c>
      <c r="J1" s="146" t="s">
        <v>193</v>
      </c>
      <c r="K1" s="146" t="s">
        <v>194</v>
      </c>
    </row>
    <row r="2" spans="1:11">
      <c r="A2" s="147" t="s">
        <v>195</v>
      </c>
      <c r="B2" s="147" t="str">
        <f>+VLOOKUP(A2,'Estado SCI'!$A$16:$C$59,3,0)</f>
        <v>AMBIENTE DE CONTROL</v>
      </c>
      <c r="C2" s="147" t="s">
        <v>33</v>
      </c>
      <c r="D2" s="147" t="s">
        <v>34</v>
      </c>
      <c r="E2" s="147" t="s">
        <v>35</v>
      </c>
      <c r="F2" s="147" t="str">
        <f>+VLOOKUP(A2,'Estado SCI'!$A$16:$I$59,9,0)</f>
        <v>Mantenimiento del control</v>
      </c>
      <c r="G2" s="147">
        <f>+VLOOKUP(A2,'Estado SCI'!$A$16:$L$59,12,0)</f>
        <v>20.123000000000001</v>
      </c>
      <c r="H2" s="147">
        <f t="shared" ref="H2:H45" si="0">+_xlfn.RANK.EQ(G2,$G$2:$G$45,1)</f>
        <v>1</v>
      </c>
      <c r="I2" s="147" t="str">
        <f>+IF(VLOOKUP(A2,'Estado SCI'!$A$16:$G$59,7,0)="","",VLOOKUP(A2,'Estado SCI'!$A$16:$G$59,7,0))</f>
        <v>Si</v>
      </c>
      <c r="J2" s="148">
        <f>+IF(I2="Si",1,IF(I2="En proceso",0.5,0))</f>
        <v>1</v>
      </c>
      <c r="K2" s="149">
        <f t="shared" ref="K2:K45" si="1">+AVERAGEIF($B$2:$B$45,B2,$J$2:$J$45)</f>
        <v>1</v>
      </c>
    </row>
    <row r="3" spans="1:11">
      <c r="A3" s="147" t="s">
        <v>196</v>
      </c>
      <c r="B3" s="147" t="s">
        <v>32</v>
      </c>
      <c r="C3" s="147" t="s">
        <v>33</v>
      </c>
      <c r="D3" s="147" t="s">
        <v>38</v>
      </c>
      <c r="E3" s="147" t="s">
        <v>39</v>
      </c>
      <c r="F3" s="147" t="str">
        <f>+VLOOKUP(A3,'Estado SCI'!$A$16:$I$59,9,0)</f>
        <v>Mantenimiento del control</v>
      </c>
      <c r="G3" s="147">
        <f>+VLOOKUP(A3,'Estado SCI'!$A$16:$L$59,12,0)</f>
        <v>20.1234</v>
      </c>
      <c r="H3" s="147">
        <f t="shared" si="0"/>
        <v>2</v>
      </c>
      <c r="I3" s="147" t="str">
        <f>+IF(VLOOKUP(A3,'Estado SCI'!$A$16:$G$59,7,0)="","",VLOOKUP(A3,'Estado SCI'!$A$16:$G$59,7,0))</f>
        <v>Si</v>
      </c>
      <c r="J3" s="148">
        <f t="shared" ref="J3:J45" si="2">+IF(I3="Si",1,IF(I3="En proceso",0.5,0))</f>
        <v>1</v>
      </c>
      <c r="K3" s="149">
        <f t="shared" si="1"/>
        <v>1</v>
      </c>
    </row>
    <row r="4" spans="1:11">
      <c r="A4" s="147" t="s">
        <v>197</v>
      </c>
      <c r="B4" s="147" t="s">
        <v>32</v>
      </c>
      <c r="C4" s="147" t="s">
        <v>33</v>
      </c>
      <c r="D4" s="147" t="s">
        <v>41</v>
      </c>
      <c r="E4" s="147" t="s">
        <v>42</v>
      </c>
      <c r="F4" s="147" t="str">
        <f>+VLOOKUP(A4,'Estado SCI'!$A$16:$I$59,9,0)</f>
        <v>Mantenimiento del control</v>
      </c>
      <c r="G4" s="147">
        <f>+VLOOKUP(A4,'Estado SCI'!$A$16:$L$59,12,0)</f>
        <v>20.123449999999998</v>
      </c>
      <c r="H4" s="147">
        <f t="shared" si="0"/>
        <v>3</v>
      </c>
      <c r="I4" s="147" t="str">
        <f>+IF(VLOOKUP(A4,'Estado SCI'!$A$16:$G$59,7,0)="","",VLOOKUP(A4,'Estado SCI'!$A$16:$G$59,7,0))</f>
        <v>Si</v>
      </c>
      <c r="J4" s="148">
        <f t="shared" si="2"/>
        <v>1</v>
      </c>
      <c r="K4" s="149">
        <f t="shared" si="1"/>
        <v>1</v>
      </c>
    </row>
    <row r="5" spans="1:11">
      <c r="A5" s="147" t="s">
        <v>198</v>
      </c>
      <c r="B5" s="147" t="s">
        <v>32</v>
      </c>
      <c r="C5" s="147" t="s">
        <v>33</v>
      </c>
      <c r="D5" s="147" t="s">
        <v>44</v>
      </c>
      <c r="E5" s="147" t="s">
        <v>45</v>
      </c>
      <c r="F5" s="147" t="str">
        <f>+VLOOKUP(A5,'Estado SCI'!$A$16:$I$59,9,0)</f>
        <v>Mantenimiento del control</v>
      </c>
      <c r="G5" s="147">
        <f>+VLOOKUP(A5,'Estado SCI'!$A$16:$L$59,12,0)</f>
        <v>20.123456000000001</v>
      </c>
      <c r="H5" s="147">
        <f t="shared" si="0"/>
        <v>4</v>
      </c>
      <c r="I5" s="147" t="str">
        <f>+IF(VLOOKUP(A5,'Estado SCI'!$A$16:$G$59,7,0)="","",VLOOKUP(A5,'Estado SCI'!$A$16:$G$59,7,0))</f>
        <v>Si</v>
      </c>
      <c r="J5" s="148">
        <f t="shared" si="2"/>
        <v>1</v>
      </c>
      <c r="K5" s="149">
        <f t="shared" si="1"/>
        <v>1</v>
      </c>
    </row>
    <row r="6" spans="1:11">
      <c r="A6" s="147" t="s">
        <v>199</v>
      </c>
      <c r="B6" s="147" t="s">
        <v>32</v>
      </c>
      <c r="C6" s="147" t="s">
        <v>33</v>
      </c>
      <c r="D6" s="147" t="s">
        <v>47</v>
      </c>
      <c r="E6" s="147" t="s">
        <v>48</v>
      </c>
      <c r="F6" s="147" t="str">
        <f>+VLOOKUP(A6,'Estado SCI'!$A$16:$I$59,9,0)</f>
        <v>Mantenimiento del control</v>
      </c>
      <c r="G6" s="147">
        <f>+VLOOKUP(A6,'Estado SCI'!$A$16:$L$59,12,0)</f>
        <v>20.123456780000001</v>
      </c>
      <c r="H6" s="147">
        <f t="shared" si="0"/>
        <v>5</v>
      </c>
      <c r="I6" s="147" t="str">
        <f>+IF(VLOOKUP(A6,'Estado SCI'!$A$16:$G$59,7,0)="","",VLOOKUP(A6,'Estado SCI'!$A$16:$G$59,7,0))</f>
        <v>Si</v>
      </c>
      <c r="J6" s="148">
        <f t="shared" si="2"/>
        <v>1</v>
      </c>
      <c r="K6" s="149">
        <f t="shared" si="1"/>
        <v>1</v>
      </c>
    </row>
    <row r="7" spans="1:11">
      <c r="A7" s="147" t="s">
        <v>200</v>
      </c>
      <c r="B7" s="147" t="s">
        <v>32</v>
      </c>
      <c r="C7" s="147" t="s">
        <v>33</v>
      </c>
      <c r="D7" s="147" t="s">
        <v>50</v>
      </c>
      <c r="E7" s="147" t="s">
        <v>51</v>
      </c>
      <c r="F7" s="147" t="str">
        <f>+VLOOKUP(A7,'Estado SCI'!$A$16:$I$59,9,0)</f>
        <v>Mantenimiento del control</v>
      </c>
      <c r="G7" s="147">
        <f>+VLOOKUP(A7,'Estado SCI'!$A$16:$L$59,12,0)</f>
        <v>20.123456788999999</v>
      </c>
      <c r="H7" s="147">
        <f t="shared" si="0"/>
        <v>6</v>
      </c>
      <c r="I7" s="147" t="str">
        <f>+IF(VLOOKUP(A7,'Estado SCI'!$A$16:$G$59,7,0)="","",VLOOKUP(A7,'Estado SCI'!$A$16:$G$59,7,0))</f>
        <v>Si</v>
      </c>
      <c r="J7" s="148">
        <f t="shared" si="2"/>
        <v>1</v>
      </c>
      <c r="K7" s="149">
        <f t="shared" si="1"/>
        <v>1</v>
      </c>
    </row>
    <row r="8" spans="1:11">
      <c r="A8" s="147" t="s">
        <v>201</v>
      </c>
      <c r="B8" s="147" t="s">
        <v>32</v>
      </c>
      <c r="C8" s="147" t="s">
        <v>33</v>
      </c>
      <c r="D8" s="147" t="s">
        <v>53</v>
      </c>
      <c r="E8" s="147" t="s">
        <v>54</v>
      </c>
      <c r="F8" s="147" t="str">
        <f>+VLOOKUP(A8,'Estado SCI'!$A$16:$I$59,9,0)</f>
        <v>Mantenimiento del control</v>
      </c>
      <c r="G8" s="147">
        <f>+VLOOKUP(A8,'Estado SCI'!$A$16:$L$59,12,0)</f>
        <v>20.1234567891</v>
      </c>
      <c r="H8" s="147">
        <f t="shared" si="0"/>
        <v>7</v>
      </c>
      <c r="I8" s="147" t="str">
        <f>+IF(VLOOKUP(A8,'Estado SCI'!$A$16:$G$59,7,0)="","",VLOOKUP(A8,'Estado SCI'!$A$16:$G$59,7,0))</f>
        <v>Si</v>
      </c>
      <c r="J8" s="148">
        <f t="shared" si="2"/>
        <v>1</v>
      </c>
      <c r="K8" s="149">
        <f t="shared" si="1"/>
        <v>1</v>
      </c>
    </row>
    <row r="9" spans="1:11">
      <c r="A9" s="147" t="s">
        <v>202</v>
      </c>
      <c r="B9" s="147" t="s">
        <v>32</v>
      </c>
      <c r="C9" s="147" t="s">
        <v>33</v>
      </c>
      <c r="D9" s="147" t="s">
        <v>56</v>
      </c>
      <c r="E9" s="147" t="s">
        <v>57</v>
      </c>
      <c r="F9" s="147" t="str">
        <f>+VLOOKUP(A9,'Estado SCI'!$A$16:$I$59,9,0)</f>
        <v>Mantenimiento del control</v>
      </c>
      <c r="G9" s="147">
        <f>+VLOOKUP(A9,'Estado SCI'!$A$16:$L$59,12,0)</f>
        <v>20.123456789119999</v>
      </c>
      <c r="H9" s="147">
        <f t="shared" si="0"/>
        <v>8</v>
      </c>
      <c r="I9" s="147" t="str">
        <f>+IF(VLOOKUP(A9,'Estado SCI'!$A$16:$G$59,7,0)="","",VLOOKUP(A9,'Estado SCI'!$A$16:$G$59,7,0))</f>
        <v>Si</v>
      </c>
      <c r="J9" s="148">
        <f t="shared" si="2"/>
        <v>1</v>
      </c>
      <c r="K9" s="149">
        <f t="shared" si="1"/>
        <v>1</v>
      </c>
    </row>
    <row r="10" spans="1:11">
      <c r="A10" s="147" t="s">
        <v>203</v>
      </c>
      <c r="B10" s="147" t="s">
        <v>32</v>
      </c>
      <c r="C10" s="147" t="s">
        <v>33</v>
      </c>
      <c r="D10" s="147" t="s">
        <v>59</v>
      </c>
      <c r="E10" s="147" t="s">
        <v>60</v>
      </c>
      <c r="F10" s="147" t="str">
        <f>+VLOOKUP(A10,'Estado SCI'!$A$16:$I$59,9,0)</f>
        <v>Mantenimiento del control</v>
      </c>
      <c r="G10" s="147">
        <f>+VLOOKUP(A10,'Estado SCI'!$A$16:$L$59,12,0)</f>
        <v>20.123456789123001</v>
      </c>
      <c r="H10" s="147">
        <f t="shared" si="0"/>
        <v>9</v>
      </c>
      <c r="I10" s="147" t="str">
        <f>+IF(VLOOKUP(A10,'Estado SCI'!$A$16:$G$59,7,0)="","",VLOOKUP(A10,'Estado SCI'!$A$16:$G$59,7,0))</f>
        <v>Si</v>
      </c>
      <c r="J10" s="148">
        <f t="shared" si="2"/>
        <v>1</v>
      </c>
      <c r="K10" s="149">
        <f t="shared" si="1"/>
        <v>1</v>
      </c>
    </row>
    <row r="11" spans="1:11">
      <c r="A11" s="147" t="s">
        <v>204</v>
      </c>
      <c r="B11" s="147" t="s">
        <v>32</v>
      </c>
      <c r="C11" s="147" t="s">
        <v>33</v>
      </c>
      <c r="D11" s="147" t="s">
        <v>62</v>
      </c>
      <c r="E11" s="147" t="s">
        <v>63</v>
      </c>
      <c r="F11" s="147" t="str">
        <f>+VLOOKUP(A11,'Estado SCI'!$A$16:$I$59,9,0)</f>
        <v>Mantenimiento del control</v>
      </c>
      <c r="G11" s="147">
        <f>+VLOOKUP(A11,'Estado SCI'!$A$16:$L$59,12,0)</f>
        <v>20.123456789123399</v>
      </c>
      <c r="H11" s="147">
        <f t="shared" si="0"/>
        <v>10</v>
      </c>
      <c r="I11" s="147" t="str">
        <f>+IF(VLOOKUP(A11,'Estado SCI'!$A$16:$G$59,7,0)="","",VLOOKUP(A11,'Estado SCI'!$A$16:$G$59,7,0))</f>
        <v>Si</v>
      </c>
      <c r="J11" s="148">
        <f t="shared" si="2"/>
        <v>1</v>
      </c>
      <c r="K11" s="149">
        <f t="shared" si="1"/>
        <v>1</v>
      </c>
    </row>
    <row r="12" spans="1:11">
      <c r="A12" s="147" t="s">
        <v>205</v>
      </c>
      <c r="B12" s="147" t="s">
        <v>32</v>
      </c>
      <c r="C12" s="147" t="s">
        <v>33</v>
      </c>
      <c r="D12" s="147" t="s">
        <v>65</v>
      </c>
      <c r="E12" s="147" t="s">
        <v>66</v>
      </c>
      <c r="F12" s="147" t="str">
        <f>+VLOOKUP(A12,'Estado SCI'!$A$16:$I$59,9,0)</f>
        <v>Mantenimiento del control</v>
      </c>
      <c r="G12" s="147">
        <f>+VLOOKUP(A12,'Estado SCI'!$A$16:$L$59,12,0)</f>
        <v>20.123456789123448</v>
      </c>
      <c r="H12" s="147">
        <f t="shared" si="0"/>
        <v>11</v>
      </c>
      <c r="I12" s="147" t="str">
        <f>+IF(VLOOKUP(A12,'Estado SCI'!$A$16:$G$59,7,0)="","",VLOOKUP(A12,'Estado SCI'!$A$16:$G$59,7,0))</f>
        <v>Si</v>
      </c>
      <c r="J12" s="148">
        <f t="shared" si="2"/>
        <v>1</v>
      </c>
      <c r="K12" s="149">
        <f t="shared" si="1"/>
        <v>1</v>
      </c>
    </row>
    <row r="13" spans="1:11">
      <c r="A13" s="147" t="s">
        <v>206</v>
      </c>
      <c r="B13" s="147" t="s">
        <v>32</v>
      </c>
      <c r="C13" s="147" t="s">
        <v>33</v>
      </c>
      <c r="D13" s="147" t="s">
        <v>68</v>
      </c>
      <c r="E13" s="147" t="s">
        <v>69</v>
      </c>
      <c r="F13" s="147" t="str">
        <f>+VLOOKUP(A13,'Estado SCI'!$A$16:$I$59,9,0)</f>
        <v>Mantenimiento del control</v>
      </c>
      <c r="G13" s="147">
        <f>+VLOOKUP(A13,'Estado SCI'!$A$16:$L$59,12,0)</f>
        <v>20.123456789123455</v>
      </c>
      <c r="H13" s="147">
        <f t="shared" si="0"/>
        <v>12</v>
      </c>
      <c r="I13" s="147" t="str">
        <f>+IF(VLOOKUP(A13,'Estado SCI'!$A$16:$G$59,7,0)="","",VLOOKUP(A13,'Estado SCI'!$A$16:$G$59,7,0))</f>
        <v>Si</v>
      </c>
      <c r="J13" s="148">
        <f t="shared" si="2"/>
        <v>1</v>
      </c>
      <c r="K13" s="149">
        <f t="shared" si="1"/>
        <v>1</v>
      </c>
    </row>
    <row r="14" spans="1:11" ht="15" customHeight="1">
      <c r="A14" s="147" t="s">
        <v>207</v>
      </c>
      <c r="B14" s="147" t="str">
        <f>+VLOOKUP(A14,'Estado SCI'!$A$16:$C$59,3,0)</f>
        <v>EVALUACION DEL RIESGO</v>
      </c>
      <c r="C14" s="147" t="s">
        <v>73</v>
      </c>
      <c r="D14" s="147" t="s">
        <v>34</v>
      </c>
      <c r="E14" s="147" t="s">
        <v>208</v>
      </c>
      <c r="F14" s="147" t="str">
        <f>+VLOOKUP(A14,'Estado SCI'!$A$16:$I$59,9,0)</f>
        <v>Mantenimiento del control</v>
      </c>
      <c r="G14" s="147">
        <f>+VLOOKUP(A14,'Estado SCI'!$A$16:$L$59,12,0)</f>
        <v>40.229999999999997</v>
      </c>
      <c r="H14" s="147">
        <f t="shared" si="0"/>
        <v>13</v>
      </c>
      <c r="I14" s="147" t="str">
        <f>+IF(VLOOKUP(A14,'Estado SCI'!$A$16:$G$59,7,0)="","",VLOOKUP(A14,'Estado SCI'!$A$16:$G$59,7,0))</f>
        <v>Si</v>
      </c>
      <c r="J14" s="148">
        <f t="shared" si="2"/>
        <v>1</v>
      </c>
      <c r="K14" s="149">
        <f t="shared" si="1"/>
        <v>1</v>
      </c>
    </row>
    <row r="15" spans="1:11" ht="15" customHeight="1">
      <c r="A15" s="147" t="s">
        <v>209</v>
      </c>
      <c r="B15" s="147" t="s">
        <v>72</v>
      </c>
      <c r="C15" s="147" t="s">
        <v>73</v>
      </c>
      <c r="D15" s="147" t="s">
        <v>38</v>
      </c>
      <c r="E15" s="147" t="s">
        <v>210</v>
      </c>
      <c r="F15" s="147" t="str">
        <f>+VLOOKUP(A15,'Estado SCI'!$A$16:$I$59,9,0)</f>
        <v>Mantenimiento del control</v>
      </c>
      <c r="G15" s="147">
        <f>+VLOOKUP(A15,'Estado SCI'!$A$16:$L$59,12,0)</f>
        <v>40.234000000000002</v>
      </c>
      <c r="H15" s="147">
        <f t="shared" si="0"/>
        <v>14</v>
      </c>
      <c r="I15" s="147" t="str">
        <f>+IF(VLOOKUP(A15,'Estado SCI'!$A$16:$G$59,7,0)="","",VLOOKUP(A15,'Estado SCI'!$A$16:$G$59,7,0))</f>
        <v>Si</v>
      </c>
      <c r="J15" s="148">
        <f t="shared" si="2"/>
        <v>1</v>
      </c>
      <c r="K15" s="149">
        <f t="shared" si="1"/>
        <v>1</v>
      </c>
    </row>
    <row r="16" spans="1:11" ht="15" customHeight="1">
      <c r="A16" s="147" t="s">
        <v>211</v>
      </c>
      <c r="B16" s="147" t="s">
        <v>72</v>
      </c>
      <c r="C16" s="147" t="s">
        <v>73</v>
      </c>
      <c r="D16" s="147" t="s">
        <v>41</v>
      </c>
      <c r="E16" s="147" t="s">
        <v>212</v>
      </c>
      <c r="F16" s="147" t="str">
        <f>+VLOOKUP(A16,'Estado SCI'!$A$16:$I$59,9,0)</f>
        <v>Mantenimiento del control</v>
      </c>
      <c r="G16" s="147">
        <f>+VLOOKUP(A16,'Estado SCI'!$A$16:$L$59,12,0)</f>
        <v>40.234499999999997</v>
      </c>
      <c r="H16" s="147">
        <f t="shared" si="0"/>
        <v>15</v>
      </c>
      <c r="I16" s="147" t="str">
        <f>+IF(VLOOKUP(A16,'Estado SCI'!$A$16:$G$59,7,0)="","",VLOOKUP(A16,'Estado SCI'!$A$16:$G$59,7,0))</f>
        <v>Si</v>
      </c>
      <c r="J16" s="148">
        <f t="shared" si="2"/>
        <v>1</v>
      </c>
      <c r="K16" s="149">
        <f t="shared" si="1"/>
        <v>1</v>
      </c>
    </row>
    <row r="17" spans="1:11" ht="15.75" customHeight="1">
      <c r="A17" s="147" t="s">
        <v>213</v>
      </c>
      <c r="B17" s="147" t="s">
        <v>72</v>
      </c>
      <c r="C17" s="147" t="s">
        <v>73</v>
      </c>
      <c r="D17" s="147" t="s">
        <v>44</v>
      </c>
      <c r="E17" s="147" t="s">
        <v>80</v>
      </c>
      <c r="F17" s="147" t="str">
        <f>+VLOOKUP(A17,'Estado SCI'!$A$16:$I$59,9,0)</f>
        <v>Mantenimiento del control</v>
      </c>
      <c r="G17" s="147">
        <f>+VLOOKUP(A17,'Estado SCI'!$A$16:$L$59,12,0)</f>
        <v>40.234560000000002</v>
      </c>
      <c r="H17" s="147">
        <f t="shared" si="0"/>
        <v>16</v>
      </c>
      <c r="I17" s="147" t="str">
        <f>+IF(VLOOKUP(A17,'Estado SCI'!$A$16:$G$59,7,0)="","",VLOOKUP(A17,'Estado SCI'!$A$16:$G$59,7,0))</f>
        <v>Si</v>
      </c>
      <c r="J17" s="148">
        <f t="shared" si="2"/>
        <v>1</v>
      </c>
      <c r="K17" s="149">
        <f t="shared" si="1"/>
        <v>1</v>
      </c>
    </row>
    <row r="18" spans="1:11" ht="15" customHeight="1">
      <c r="A18" s="147" t="s">
        <v>214</v>
      </c>
      <c r="B18" s="147" t="s">
        <v>72</v>
      </c>
      <c r="C18" s="147" t="s">
        <v>100</v>
      </c>
      <c r="D18" s="147" t="s">
        <v>34</v>
      </c>
      <c r="E18" s="147" t="s">
        <v>84</v>
      </c>
      <c r="F18" s="147" t="str">
        <f>+VLOOKUP(A18,'Estado SCI'!$A$16:$I$59,9,0)</f>
        <v>Mantenimiento del control</v>
      </c>
      <c r="G18" s="147">
        <f>+VLOOKUP(A18,'Estado SCI'!$A$16:$L$59,12,0)</f>
        <v>40.234566999999998</v>
      </c>
      <c r="H18" s="147">
        <f t="shared" si="0"/>
        <v>17</v>
      </c>
      <c r="I18" s="147" t="str">
        <f>+IF(VLOOKUP(A18,'Estado SCI'!$A$16:$G$59,7,0)="","",VLOOKUP(A18,'Estado SCI'!$A$16:$G$59,7,0))</f>
        <v>Si</v>
      </c>
      <c r="J18" s="148">
        <f t="shared" si="2"/>
        <v>1</v>
      </c>
      <c r="K18" s="149">
        <f t="shared" si="1"/>
        <v>1</v>
      </c>
    </row>
    <row r="19" spans="1:11" ht="15" customHeight="1">
      <c r="A19" s="147" t="s">
        <v>215</v>
      </c>
      <c r="B19" s="147" t="s">
        <v>72</v>
      </c>
      <c r="C19" s="147" t="s">
        <v>100</v>
      </c>
      <c r="D19" s="147" t="s">
        <v>38</v>
      </c>
      <c r="E19" s="147" t="s">
        <v>86</v>
      </c>
      <c r="F19" s="147" t="str">
        <f>+VLOOKUP(A19,'Estado SCI'!$A$16:$I$59,9,0)</f>
        <v>Mantenimiento del control</v>
      </c>
      <c r="G19" s="147">
        <f>+VLOOKUP(A19,'Estado SCI'!$A$16:$L$59,12,0)</f>
        <v>40.234567800000001</v>
      </c>
      <c r="H19" s="147">
        <f t="shared" si="0"/>
        <v>18</v>
      </c>
      <c r="I19" s="147" t="str">
        <f>+IF(VLOOKUP(A19,'Estado SCI'!$A$16:$G$59,7,0)="","",VLOOKUP(A19,'Estado SCI'!$A$16:$G$59,7,0))</f>
        <v>Si</v>
      </c>
      <c r="J19" s="148">
        <f t="shared" si="2"/>
        <v>1</v>
      </c>
      <c r="K19" s="149">
        <f t="shared" si="1"/>
        <v>1</v>
      </c>
    </row>
    <row r="20" spans="1:11" ht="15" customHeight="1">
      <c r="A20" s="147" t="s">
        <v>216</v>
      </c>
      <c r="B20" s="147" t="s">
        <v>72</v>
      </c>
      <c r="C20" s="147" t="s">
        <v>100</v>
      </c>
      <c r="D20" s="147" t="s">
        <v>41</v>
      </c>
      <c r="E20" s="147" t="s">
        <v>88</v>
      </c>
      <c r="F20" s="147" t="str">
        <f>+VLOOKUP(A20,'Estado SCI'!$A$16:$I$59,9,0)</f>
        <v>Mantenimiento del control</v>
      </c>
      <c r="G20" s="147">
        <f>+VLOOKUP(A20,'Estado SCI'!$A$16:$L$59,12,0)</f>
        <v>40.234567890000001</v>
      </c>
      <c r="H20" s="147">
        <f t="shared" si="0"/>
        <v>19</v>
      </c>
      <c r="I20" s="147" t="str">
        <f>+IF(VLOOKUP(A20,'Estado SCI'!$A$16:$G$59,7,0)="","",VLOOKUP(A20,'Estado SCI'!$A$16:$G$59,7,0))</f>
        <v>Si</v>
      </c>
      <c r="J20" s="148">
        <f t="shared" si="2"/>
        <v>1</v>
      </c>
      <c r="K20" s="149">
        <f t="shared" si="1"/>
        <v>1</v>
      </c>
    </row>
    <row r="21" spans="1:11" ht="15.75" customHeight="1">
      <c r="A21" s="147" t="s">
        <v>217</v>
      </c>
      <c r="B21" s="147" t="s">
        <v>72</v>
      </c>
      <c r="C21" s="147" t="s">
        <v>100</v>
      </c>
      <c r="D21" s="147" t="s">
        <v>34</v>
      </c>
      <c r="E21" s="147" t="s">
        <v>92</v>
      </c>
      <c r="F21" s="147" t="str">
        <f>+VLOOKUP(A21,'Estado SCI'!$A$16:$I$59,9,0)</f>
        <v>Mantenimiento del control</v>
      </c>
      <c r="G21" s="147">
        <f>+VLOOKUP(A21,'Estado SCI'!$A$16:$L$59,12,0)</f>
        <v>40.234567891200001</v>
      </c>
      <c r="H21" s="147">
        <f t="shared" si="0"/>
        <v>20</v>
      </c>
      <c r="I21" s="147" t="str">
        <f>+IF(VLOOKUP(A21,'Estado SCI'!$A$16:$G$59,7,0)="","",VLOOKUP(A21,'Estado SCI'!$A$16:$G$59,7,0))</f>
        <v>Si</v>
      </c>
      <c r="J21" s="148">
        <f t="shared" si="2"/>
        <v>1</v>
      </c>
      <c r="K21" s="149">
        <f t="shared" si="1"/>
        <v>1</v>
      </c>
    </row>
    <row r="22" spans="1:11" ht="15" customHeight="1">
      <c r="A22" s="147" t="s">
        <v>218</v>
      </c>
      <c r="B22" s="147" t="s">
        <v>72</v>
      </c>
      <c r="C22" s="147" t="s">
        <v>113</v>
      </c>
      <c r="D22" s="147" t="s">
        <v>38</v>
      </c>
      <c r="E22" s="147" t="s">
        <v>94</v>
      </c>
      <c r="F22" s="147" t="str">
        <f>+VLOOKUP(A22,'Estado SCI'!$A$16:$I$59,9,0)</f>
        <v>Mantenimiento del control</v>
      </c>
      <c r="G22" s="147">
        <f>+VLOOKUP(A22,'Estado SCI'!$A$16:$L$59,12,0)</f>
        <v>40.23456789123</v>
      </c>
      <c r="H22" s="147">
        <f t="shared" si="0"/>
        <v>21</v>
      </c>
      <c r="I22" s="147" t="str">
        <f>+IF(VLOOKUP(A22,'Estado SCI'!$A$16:$G$59,7,0)="","",VLOOKUP(A22,'Estado SCI'!$A$16:$G$59,7,0))</f>
        <v>Si</v>
      </c>
      <c r="J22" s="148">
        <f t="shared" si="2"/>
        <v>1</v>
      </c>
      <c r="K22" s="149">
        <f t="shared" si="1"/>
        <v>1</v>
      </c>
    </row>
    <row r="23" spans="1:11" ht="15" customHeight="1">
      <c r="A23" s="147" t="s">
        <v>219</v>
      </c>
      <c r="B23" s="147" t="s">
        <v>72</v>
      </c>
      <c r="C23" s="147" t="s">
        <v>113</v>
      </c>
      <c r="D23" s="147" t="s">
        <v>41</v>
      </c>
      <c r="E23" s="147" t="s">
        <v>96</v>
      </c>
      <c r="F23" s="147" t="str">
        <f>+VLOOKUP(A23,'Estado SCI'!$A$16:$I$59,9,0)</f>
        <v>Mantenimiento del control</v>
      </c>
      <c r="G23" s="147">
        <f>+VLOOKUP(A23,'Estado SCI'!$A$16:$L$59,12,0)</f>
        <v>40.234567891234001</v>
      </c>
      <c r="H23" s="147">
        <f t="shared" si="0"/>
        <v>22</v>
      </c>
      <c r="I23" s="147" t="str">
        <f>+IF(VLOOKUP(A23,'Estado SCI'!$A$16:$G$59,7,0)="","",VLOOKUP(A23,'Estado SCI'!$A$16:$G$59,7,0))</f>
        <v>Si</v>
      </c>
      <c r="J23" s="148">
        <f t="shared" si="2"/>
        <v>1</v>
      </c>
      <c r="K23" s="149">
        <f t="shared" si="1"/>
        <v>1</v>
      </c>
    </row>
    <row r="24" spans="1:11" ht="15" customHeight="1">
      <c r="A24" s="147" t="s">
        <v>220</v>
      </c>
      <c r="B24" s="147" t="str">
        <f>+VLOOKUP(A24,'Estado SCI'!$A$16:$C$59,3,0)</f>
        <v>ACTIVIDADES DE CONTROL</v>
      </c>
      <c r="C24" s="147" t="s">
        <v>113</v>
      </c>
      <c r="D24" s="147" t="s">
        <v>34</v>
      </c>
      <c r="E24" s="147" t="s">
        <v>101</v>
      </c>
      <c r="F24" s="147" t="str">
        <f>+VLOOKUP(A24,'Estado SCI'!$A$16:$I$59,9,0)</f>
        <v>Mantenimiento del control</v>
      </c>
      <c r="G24" s="147">
        <f>+VLOOKUP(A24,'Estado SCI'!$A$16:$L$59,12,0)</f>
        <v>60.31</v>
      </c>
      <c r="H24" s="147">
        <f t="shared" si="0"/>
        <v>23</v>
      </c>
      <c r="I24" s="147" t="str">
        <f>+IF(VLOOKUP(A24,'Estado SCI'!$A$16:$G$59,7,0)="","",VLOOKUP(A24,'Estado SCI'!$A$16:$G$59,7,0))</f>
        <v>Si</v>
      </c>
      <c r="J24" s="148">
        <f t="shared" si="2"/>
        <v>1</v>
      </c>
      <c r="K24" s="149">
        <f t="shared" si="1"/>
        <v>1</v>
      </c>
    </row>
    <row r="25" spans="1:11" ht="15" customHeight="1">
      <c r="A25" s="147" t="s">
        <v>221</v>
      </c>
      <c r="B25" s="147" t="s">
        <v>99</v>
      </c>
      <c r="C25" s="147" t="s">
        <v>113</v>
      </c>
      <c r="D25" s="147" t="s">
        <v>38</v>
      </c>
      <c r="E25" s="147" t="s">
        <v>103</v>
      </c>
      <c r="F25" s="147" t="str">
        <f>+VLOOKUP(A25,'Estado SCI'!$A$16:$I$59,9,0)</f>
        <v>Mantenimiento del control</v>
      </c>
      <c r="G25" s="147">
        <f>+VLOOKUP(A25,'Estado SCI'!$A$16:$L$59,12,0)</f>
        <v>60.323</v>
      </c>
      <c r="H25" s="147">
        <f t="shared" si="0"/>
        <v>24</v>
      </c>
      <c r="I25" s="147" t="str">
        <f>+IF(VLOOKUP(A25,'Estado SCI'!$A$16:$G$59,7,0)="","",VLOOKUP(A25,'Estado SCI'!$A$16:$G$59,7,0))</f>
        <v>Si</v>
      </c>
      <c r="J25" s="148">
        <f t="shared" si="2"/>
        <v>1</v>
      </c>
      <c r="K25" s="149">
        <f t="shared" si="1"/>
        <v>1</v>
      </c>
    </row>
    <row r="26" spans="1:11" ht="15" customHeight="1">
      <c r="A26" s="147" t="s">
        <v>222</v>
      </c>
      <c r="B26" s="147" t="s">
        <v>99</v>
      </c>
      <c r="C26" s="147" t="s">
        <v>113</v>
      </c>
      <c r="D26" s="147" t="s">
        <v>41</v>
      </c>
      <c r="E26" s="147" t="s">
        <v>105</v>
      </c>
      <c r="F26" s="147" t="str">
        <f>+VLOOKUP(A26,'Estado SCI'!$A$16:$I$59,9,0)</f>
        <v>Mantenimiento del control</v>
      </c>
      <c r="G26" s="147">
        <f>+VLOOKUP(A26,'Estado SCI'!$A$16:$L$59,12,0)</f>
        <v>60.323999999999998</v>
      </c>
      <c r="H26" s="147">
        <f t="shared" si="0"/>
        <v>25</v>
      </c>
      <c r="I26" s="147" t="str">
        <f>+IF(VLOOKUP(A26,'Estado SCI'!$A$16:$G$59,7,0)="","",VLOOKUP(A26,'Estado SCI'!$A$16:$G$59,7,0))</f>
        <v>Si</v>
      </c>
      <c r="J26" s="148">
        <f t="shared" si="2"/>
        <v>1</v>
      </c>
      <c r="K26" s="149">
        <f t="shared" si="1"/>
        <v>1</v>
      </c>
    </row>
    <row r="27" spans="1:11" ht="15.75" customHeight="1">
      <c r="A27" s="147" t="s">
        <v>223</v>
      </c>
      <c r="B27" s="147" t="s">
        <v>99</v>
      </c>
      <c r="C27" s="147" t="s">
        <v>113</v>
      </c>
      <c r="D27" s="147" t="s">
        <v>44</v>
      </c>
      <c r="E27" s="147" t="s">
        <v>107</v>
      </c>
      <c r="F27" s="147" t="str">
        <f>+VLOOKUP(A27,'Estado SCI'!$A$16:$I$59,9,0)</f>
        <v>Mantenimiento del control</v>
      </c>
      <c r="G27" s="147">
        <f>+VLOOKUP(A27,'Estado SCI'!$A$16:$L$59,12,0)</f>
        <v>60.325000000000003</v>
      </c>
      <c r="H27" s="147">
        <f t="shared" si="0"/>
        <v>26</v>
      </c>
      <c r="I27" s="147" t="str">
        <f>+IF(VLOOKUP(A27,'Estado SCI'!$A$16:$G$59,7,0)="","",VLOOKUP(A27,'Estado SCI'!$A$16:$G$59,7,0))</f>
        <v>Si</v>
      </c>
      <c r="J27" s="148">
        <f t="shared" si="2"/>
        <v>1</v>
      </c>
      <c r="K27" s="149">
        <f t="shared" si="1"/>
        <v>1</v>
      </c>
    </row>
    <row r="28" spans="1:11" ht="15" customHeight="1">
      <c r="A28" s="147" t="s">
        <v>224</v>
      </c>
      <c r="B28" s="147" t="s">
        <v>99</v>
      </c>
      <c r="C28" s="147" t="s">
        <v>130</v>
      </c>
      <c r="D28" s="147" t="s">
        <v>47</v>
      </c>
      <c r="E28" s="147" t="s">
        <v>109</v>
      </c>
      <c r="F28" s="147" t="str">
        <f>+VLOOKUP(A28,'Estado SCI'!$A$16:$I$59,9,0)</f>
        <v>Mantenimiento del control</v>
      </c>
      <c r="G28" s="147">
        <f>+VLOOKUP(A28,'Estado SCI'!$A$16:$L$59,12,0)</f>
        <v>60.326000000000001</v>
      </c>
      <c r="H28" s="147">
        <f t="shared" si="0"/>
        <v>27</v>
      </c>
      <c r="I28" s="147" t="str">
        <f>+IF(VLOOKUP(A28,'Estado SCI'!$A$16:$G$59,7,0)="","",VLOOKUP(A28,'Estado SCI'!$A$16:$G$59,7,0))</f>
        <v>Si</v>
      </c>
      <c r="J28" s="148">
        <f t="shared" si="2"/>
        <v>1</v>
      </c>
      <c r="K28" s="149">
        <f t="shared" si="1"/>
        <v>1</v>
      </c>
    </row>
    <row r="29" spans="1:11" ht="15" customHeight="1">
      <c r="A29" s="147" t="s">
        <v>225</v>
      </c>
      <c r="B29" s="147" t="str">
        <f>+VLOOKUP(A29,'Estado SCI'!$A$16:$C$59,3,0)</f>
        <v>INFORMACION Y COMUNICACIÓN</v>
      </c>
      <c r="C29" s="147" t="s">
        <v>130</v>
      </c>
      <c r="D29" s="147" t="s">
        <v>34</v>
      </c>
      <c r="E29" s="147" t="s">
        <v>114</v>
      </c>
      <c r="F29" s="147" t="str">
        <f>+VLOOKUP(A29,'Estado SCI'!$A$16:$I$59,9,0)</f>
        <v>Mantenimiento del control</v>
      </c>
      <c r="G29" s="147">
        <f>+VLOOKUP(A29,'Estado SCI'!$A$16:$L$59,12,0)</f>
        <v>80.412000000000006</v>
      </c>
      <c r="H29" s="147">
        <f t="shared" si="0"/>
        <v>28</v>
      </c>
      <c r="I29" s="147" t="str">
        <f>+IF(VLOOKUP(A29,'Estado SCI'!$A$16:$G$59,7,0)="","",VLOOKUP(A29,'Estado SCI'!$A$16:$G$59,7,0))</f>
        <v>Si</v>
      </c>
      <c r="J29" s="148">
        <f t="shared" si="2"/>
        <v>1</v>
      </c>
      <c r="K29" s="149">
        <f t="shared" si="1"/>
        <v>1</v>
      </c>
    </row>
    <row r="30" spans="1:11" ht="15" customHeight="1">
      <c r="A30" s="147" t="s">
        <v>226</v>
      </c>
      <c r="B30" s="147" t="s">
        <v>112</v>
      </c>
      <c r="C30" s="147" t="s">
        <v>130</v>
      </c>
      <c r="D30" s="147" t="s">
        <v>38</v>
      </c>
      <c r="E30" s="147" t="s">
        <v>116</v>
      </c>
      <c r="F30" s="147" t="str">
        <f>+VLOOKUP(A30,'Estado SCI'!$A$16:$I$59,9,0)</f>
        <v>Mantenimiento del control</v>
      </c>
      <c r="G30" s="147">
        <f>+VLOOKUP(A30,'Estado SCI'!$A$16:$L$59,12,0)</f>
        <v>80.412300000000002</v>
      </c>
      <c r="H30" s="147">
        <f t="shared" si="0"/>
        <v>29</v>
      </c>
      <c r="I30" s="147" t="str">
        <f>+IF(VLOOKUP(A30,'Estado SCI'!$A$16:$G$59,7,0)="","",VLOOKUP(A30,'Estado SCI'!$A$16:$G$59,7,0))</f>
        <v>Si</v>
      </c>
      <c r="J30" s="148">
        <f t="shared" si="2"/>
        <v>1</v>
      </c>
      <c r="K30" s="149">
        <f t="shared" si="1"/>
        <v>1</v>
      </c>
    </row>
    <row r="31" spans="1:11" ht="15.75" customHeight="1">
      <c r="A31" s="147" t="s">
        <v>227</v>
      </c>
      <c r="B31" s="147" t="s">
        <v>112</v>
      </c>
      <c r="C31" s="147" t="s">
        <v>130</v>
      </c>
      <c r="D31" s="147" t="s">
        <v>41</v>
      </c>
      <c r="E31" s="147" t="s">
        <v>118</v>
      </c>
      <c r="F31" s="147" t="str">
        <f>+VLOOKUP(A31,'Estado SCI'!$A$16:$I$59,9,0)</f>
        <v>Mantenimiento del control</v>
      </c>
      <c r="G31" s="147">
        <f>+VLOOKUP(A31,'Estado SCI'!$A$16:$L$59,12,0)</f>
        <v>80.41234</v>
      </c>
      <c r="H31" s="147">
        <f t="shared" si="0"/>
        <v>30</v>
      </c>
      <c r="I31" s="147" t="str">
        <f>+IF(VLOOKUP(A31,'Estado SCI'!$A$16:$G$59,7,0)="","",VLOOKUP(A31,'Estado SCI'!$A$16:$G$59,7,0))</f>
        <v>Si</v>
      </c>
      <c r="J31" s="148">
        <f t="shared" si="2"/>
        <v>1</v>
      </c>
      <c r="K31" s="149">
        <f t="shared" si="1"/>
        <v>1</v>
      </c>
    </row>
    <row r="32" spans="1:11">
      <c r="A32" s="147" t="s">
        <v>228</v>
      </c>
      <c r="B32" s="147" t="s">
        <v>112</v>
      </c>
      <c r="C32" s="147" t="s">
        <v>140</v>
      </c>
      <c r="D32" s="147" t="s">
        <v>44</v>
      </c>
      <c r="E32" s="147" t="s">
        <v>120</v>
      </c>
      <c r="F32" s="147" t="str">
        <f>+VLOOKUP(A32,'Estado SCI'!$A$16:$I$59,9,0)</f>
        <v>Mantenimiento del control</v>
      </c>
      <c r="G32" s="147">
        <f>+VLOOKUP(A32,'Estado SCI'!$A$16:$L$59,12,0)</f>
        <v>80.412345000000002</v>
      </c>
      <c r="H32" s="147">
        <f t="shared" si="0"/>
        <v>31</v>
      </c>
      <c r="I32" s="147" t="str">
        <f>+IF(VLOOKUP(A32,'Estado SCI'!$A$16:$G$59,7,0)="","",VLOOKUP(A32,'Estado SCI'!$A$16:$G$59,7,0))</f>
        <v>Si</v>
      </c>
      <c r="J32" s="148">
        <f t="shared" si="2"/>
        <v>1</v>
      </c>
      <c r="K32" s="149">
        <f t="shared" si="1"/>
        <v>1</v>
      </c>
    </row>
    <row r="33" spans="1:11">
      <c r="A33" s="147" t="s">
        <v>229</v>
      </c>
      <c r="B33" s="147" t="s">
        <v>112</v>
      </c>
      <c r="C33" s="147" t="s">
        <v>230</v>
      </c>
      <c r="D33" s="147" t="s">
        <v>47</v>
      </c>
      <c r="E33" s="147" t="s">
        <v>122</v>
      </c>
      <c r="F33" s="147" t="str">
        <f>+VLOOKUP(A33,'Estado SCI'!$A$16:$I$59,9,0)</f>
        <v>Mantenimiento del control</v>
      </c>
      <c r="G33" s="147">
        <f>+VLOOKUP(A33,'Estado SCI'!$A$16:$L$59,12,0)</f>
        <v>80.412345599999995</v>
      </c>
      <c r="H33" s="147">
        <f t="shared" si="0"/>
        <v>32</v>
      </c>
      <c r="I33" s="147" t="str">
        <f>+IF(VLOOKUP(A33,'Estado SCI'!$A$16:$G$59,7,0)="","",VLOOKUP(A33,'Estado SCI'!$A$16:$G$59,7,0))</f>
        <v>Si</v>
      </c>
      <c r="J33" s="148">
        <f t="shared" si="2"/>
        <v>1</v>
      </c>
      <c r="K33" s="149">
        <f t="shared" si="1"/>
        <v>1</v>
      </c>
    </row>
    <row r="34" spans="1:11">
      <c r="A34" s="147" t="s">
        <v>231</v>
      </c>
      <c r="B34" s="147" t="s">
        <v>112</v>
      </c>
      <c r="C34" s="147" t="s">
        <v>230</v>
      </c>
      <c r="D34" s="147" t="s">
        <v>50</v>
      </c>
      <c r="E34" s="147" t="s">
        <v>124</v>
      </c>
      <c r="F34" s="147" t="str">
        <f>+VLOOKUP(A34,'Estado SCI'!$A$16:$I$59,9,0)</f>
        <v>Mantenimiento del control</v>
      </c>
      <c r="G34" s="147">
        <f>+VLOOKUP(A34,'Estado SCI'!$A$16:$L$59,12,0)</f>
        <v>80.412345669999993</v>
      </c>
      <c r="H34" s="147">
        <f t="shared" si="0"/>
        <v>33</v>
      </c>
      <c r="I34" s="147" t="str">
        <f>+IF(VLOOKUP(A34,'Estado SCI'!$A$16:$G$59,7,0)="","",VLOOKUP(A34,'Estado SCI'!$A$16:$G$59,7,0))</f>
        <v>Si</v>
      </c>
      <c r="J34" s="148">
        <f t="shared" si="2"/>
        <v>1</v>
      </c>
      <c r="K34" s="149">
        <f t="shared" si="1"/>
        <v>1</v>
      </c>
    </row>
    <row r="35" spans="1:11">
      <c r="A35" s="147" t="s">
        <v>232</v>
      </c>
      <c r="B35" s="147" t="s">
        <v>112</v>
      </c>
      <c r="C35" s="147" t="s">
        <v>230</v>
      </c>
      <c r="D35" s="147" t="s">
        <v>53</v>
      </c>
      <c r="E35" s="147" t="s">
        <v>126</v>
      </c>
      <c r="F35" s="147" t="str">
        <f>+VLOOKUP(A35,'Estado SCI'!$A$16:$I$59,9,0)</f>
        <v>Mantenimiento del control</v>
      </c>
      <c r="G35" s="147">
        <f>+VLOOKUP(A35,'Estado SCI'!$A$16:$L$59,12,0)</f>
        <v>80.412345677999994</v>
      </c>
      <c r="H35" s="147">
        <f t="shared" si="0"/>
        <v>34</v>
      </c>
      <c r="I35" s="147" t="str">
        <f>+IF(VLOOKUP(A35,'Estado SCI'!$A$16:$G$59,7,0)="","",VLOOKUP(A35,'Estado SCI'!$A$16:$G$59,7,0))</f>
        <v>Si</v>
      </c>
      <c r="J35" s="148">
        <f t="shared" si="2"/>
        <v>1</v>
      </c>
      <c r="K35" s="149">
        <f t="shared" si="1"/>
        <v>1</v>
      </c>
    </row>
    <row r="36" spans="1:11">
      <c r="A36" s="147" t="s">
        <v>233</v>
      </c>
      <c r="B36" s="147" t="str">
        <f>+VLOOKUP(A36,'Estado SCI'!$A$16:$C$59,3,0)</f>
        <v>ACTIVIDADES DE MONITOREO</v>
      </c>
      <c r="C36" s="147" t="s">
        <v>230</v>
      </c>
      <c r="D36" s="147" t="s">
        <v>34</v>
      </c>
      <c r="E36" s="147" t="s">
        <v>131</v>
      </c>
      <c r="F36" s="147" t="str">
        <f>+VLOOKUP(A36,'Estado SCI'!$A$16:$I$59,9,0)</f>
        <v>Mantenimiento del control</v>
      </c>
      <c r="G36" s="147">
        <f>+VLOOKUP(A36,'Estado SCI'!$A$16:$L$59,12,0)</f>
        <v>120.851</v>
      </c>
      <c r="H36" s="147">
        <f t="shared" si="0"/>
        <v>35</v>
      </c>
      <c r="I36" s="147" t="str">
        <f>+IF(VLOOKUP(A36,'Estado SCI'!$A$16:$G$59,7,0)="","",VLOOKUP(A36,'Estado SCI'!$A$16:$G$59,7,0))</f>
        <v>Si</v>
      </c>
      <c r="J36" s="148">
        <f t="shared" si="2"/>
        <v>1</v>
      </c>
      <c r="K36" s="149">
        <f t="shared" si="1"/>
        <v>1</v>
      </c>
    </row>
    <row r="37" spans="1:11">
      <c r="A37" s="147" t="s">
        <v>234</v>
      </c>
      <c r="B37" s="147" t="s">
        <v>129</v>
      </c>
      <c r="C37" s="147" t="s">
        <v>230</v>
      </c>
      <c r="D37" s="147" t="s">
        <v>44</v>
      </c>
      <c r="E37" s="147" t="s">
        <v>133</v>
      </c>
      <c r="F37" s="147" t="str">
        <f>+VLOOKUP(A37,'Estado SCI'!$A$16:$I$59,9,0)</f>
        <v>Mantenimiento del control</v>
      </c>
      <c r="G37" s="147">
        <f>+VLOOKUP(A37,'Estado SCI'!$A$16:$L$59,12,0)</f>
        <v>120.85120000000001</v>
      </c>
      <c r="H37" s="147">
        <f t="shared" si="0"/>
        <v>36</v>
      </c>
      <c r="I37" s="147" t="str">
        <f>+IF(VLOOKUP(A37,'Estado SCI'!$A$16:$G$59,7,0)="","",VLOOKUP(A37,'Estado SCI'!$A$16:$G$59,7,0))</f>
        <v>Si</v>
      </c>
      <c r="J37" s="148">
        <f t="shared" si="2"/>
        <v>1</v>
      </c>
      <c r="K37" s="149">
        <f t="shared" si="1"/>
        <v>1</v>
      </c>
    </row>
    <row r="38" spans="1:11">
      <c r="A38" s="147" t="s">
        <v>235</v>
      </c>
      <c r="B38" s="147" t="s">
        <v>129</v>
      </c>
      <c r="C38" s="147" t="s">
        <v>83</v>
      </c>
      <c r="D38" s="147" t="s">
        <v>50</v>
      </c>
      <c r="E38" s="147" t="s">
        <v>135</v>
      </c>
      <c r="F38" s="147" t="str">
        <f>+VLOOKUP(A38,'Estado SCI'!$A$16:$I$59,9,0)</f>
        <v>Mantenimiento del control</v>
      </c>
      <c r="G38" s="147">
        <f>+VLOOKUP(A38,'Estado SCI'!$A$16:$L$59,12,0)</f>
        <v>120.85123</v>
      </c>
      <c r="H38" s="147">
        <f t="shared" si="0"/>
        <v>37</v>
      </c>
      <c r="I38" s="147" t="str">
        <f>+IF(VLOOKUP(A38,'Estado SCI'!$A$16:$G$59,7,0)="","",VLOOKUP(A38,'Estado SCI'!$A$16:$G$59,7,0))</f>
        <v>Si</v>
      </c>
      <c r="J38" s="148">
        <f t="shared" si="2"/>
        <v>1</v>
      </c>
      <c r="K38" s="149">
        <f t="shared" si="1"/>
        <v>1</v>
      </c>
    </row>
    <row r="39" spans="1:11">
      <c r="A39" s="147" t="s">
        <v>236</v>
      </c>
      <c r="B39" s="147" t="s">
        <v>129</v>
      </c>
      <c r="C39" s="147" t="s">
        <v>83</v>
      </c>
      <c r="D39" s="147" t="s">
        <v>53</v>
      </c>
      <c r="E39" s="147" t="s">
        <v>137</v>
      </c>
      <c r="F39" s="147" t="str">
        <f>+VLOOKUP(A39,'Estado SCI'!$A$16:$I$59,9,0)</f>
        <v>Mantenimiento del control</v>
      </c>
      <c r="G39" s="147">
        <f>+VLOOKUP(A39,'Estado SCI'!$A$16:$L$59,12,0)</f>
        <v>120.85123400000001</v>
      </c>
      <c r="H39" s="147">
        <f t="shared" si="0"/>
        <v>38</v>
      </c>
      <c r="I39" s="147" t="str">
        <f>+IF(VLOOKUP(A39,'Estado SCI'!$A$16:$G$59,7,0)="","",VLOOKUP(A39,'Estado SCI'!$A$16:$G$59,7,0))</f>
        <v>Si</v>
      </c>
      <c r="J39" s="148">
        <f t="shared" si="2"/>
        <v>1</v>
      </c>
      <c r="K39" s="149">
        <f t="shared" si="1"/>
        <v>1</v>
      </c>
    </row>
    <row r="40" spans="1:11">
      <c r="A40" s="147" t="s">
        <v>237</v>
      </c>
      <c r="B40" s="147" t="s">
        <v>129</v>
      </c>
      <c r="C40" s="147" t="s">
        <v>83</v>
      </c>
      <c r="D40" s="147" t="s">
        <v>56</v>
      </c>
      <c r="E40" s="147" t="s">
        <v>141</v>
      </c>
      <c r="F40" s="147" t="str">
        <f>+VLOOKUP(A40,'Estado SCI'!$A$16:$I$59,9,0)</f>
        <v>Mantenimiento del control</v>
      </c>
      <c r="G40" s="147">
        <f>+VLOOKUP(A40,'Estado SCI'!$A$16:$L$59,12,0)</f>
        <v>120.8512345</v>
      </c>
      <c r="H40" s="147">
        <f t="shared" si="0"/>
        <v>39</v>
      </c>
      <c r="I40" s="147" t="str">
        <f>+IF(VLOOKUP(A40,'Estado SCI'!$A$16:$G$59,7,0)="","",VLOOKUP(A40,'Estado SCI'!$A$16:$G$59,7,0))</f>
        <v>Si</v>
      </c>
      <c r="J40" s="148">
        <f t="shared" si="2"/>
        <v>1</v>
      </c>
      <c r="K40" s="149">
        <f t="shared" si="1"/>
        <v>1</v>
      </c>
    </row>
    <row r="41" spans="1:11">
      <c r="A41" s="147" t="s">
        <v>238</v>
      </c>
      <c r="B41" s="147" t="s">
        <v>129</v>
      </c>
      <c r="C41" s="147" t="s">
        <v>83</v>
      </c>
      <c r="D41" s="147" t="s">
        <v>34</v>
      </c>
      <c r="E41" s="147" t="s">
        <v>145</v>
      </c>
      <c r="F41" s="147" t="str">
        <f>+VLOOKUP(A41,'Estado SCI'!$A$16:$I$59,9,0)</f>
        <v>Mantenimiento del control</v>
      </c>
      <c r="G41" s="147">
        <f>+VLOOKUP(A41,'Estado SCI'!$A$16:$L$59,12,0)</f>
        <v>120.85123455999999</v>
      </c>
      <c r="H41" s="147">
        <f t="shared" si="0"/>
        <v>40</v>
      </c>
      <c r="I41" s="147" t="str">
        <f>+IF(VLOOKUP(A41,'Estado SCI'!$A$16:$G$59,7,0)="","",VLOOKUP(A41,'Estado SCI'!$A$16:$G$59,7,0))</f>
        <v>Si</v>
      </c>
      <c r="J41" s="148">
        <f t="shared" si="2"/>
        <v>1</v>
      </c>
      <c r="K41" s="149">
        <f t="shared" si="1"/>
        <v>1</v>
      </c>
    </row>
    <row r="42" spans="1:11">
      <c r="A42" s="147" t="s">
        <v>239</v>
      </c>
      <c r="B42" s="147" t="s">
        <v>129</v>
      </c>
      <c r="C42" s="147" t="s">
        <v>91</v>
      </c>
      <c r="D42" s="147" t="s">
        <v>38</v>
      </c>
      <c r="E42" s="147" t="s">
        <v>147</v>
      </c>
      <c r="F42" s="147" t="str">
        <f>+VLOOKUP(A42,'Estado SCI'!$A$16:$I$59,9,0)</f>
        <v>Mantenimiento del control</v>
      </c>
      <c r="G42" s="147">
        <f>+VLOOKUP(A42,'Estado SCI'!$A$16:$L$59,12,0)</f>
        <v>120.85123456700001</v>
      </c>
      <c r="H42" s="147">
        <f t="shared" si="0"/>
        <v>41</v>
      </c>
      <c r="I42" s="147" t="str">
        <f>+IF(VLOOKUP(A42,'Estado SCI'!$A$16:$G$59,7,0)="","",VLOOKUP(A42,'Estado SCI'!$A$16:$G$59,7,0))</f>
        <v>Si</v>
      </c>
      <c r="J42" s="148">
        <f t="shared" si="2"/>
        <v>1</v>
      </c>
      <c r="K42" s="149">
        <f t="shared" si="1"/>
        <v>1</v>
      </c>
    </row>
    <row r="43" spans="1:11">
      <c r="A43" s="147" t="s">
        <v>240</v>
      </c>
      <c r="B43" s="147" t="s">
        <v>129</v>
      </c>
      <c r="C43" s="147" t="s">
        <v>91</v>
      </c>
      <c r="D43" s="147" t="s">
        <v>41</v>
      </c>
      <c r="E43" s="147" t="s">
        <v>149</v>
      </c>
      <c r="F43" s="147" t="str">
        <f>+VLOOKUP(A43,'Estado SCI'!$A$16:$I$59,9,0)</f>
        <v>Mantenimiento del control</v>
      </c>
      <c r="G43" s="147">
        <f>+VLOOKUP(A43,'Estado SCI'!$A$16:$L$59,12,0)</f>
        <v>120.85123456780001</v>
      </c>
      <c r="H43" s="147">
        <f t="shared" si="0"/>
        <v>42</v>
      </c>
      <c r="I43" s="147" t="str">
        <f>+IF(VLOOKUP(A43,'Estado SCI'!$A$16:$G$59,7,0)="","",VLOOKUP(A43,'Estado SCI'!$A$16:$G$59,7,0))</f>
        <v>Si</v>
      </c>
      <c r="J43" s="148">
        <f t="shared" si="2"/>
        <v>1</v>
      </c>
      <c r="K43" s="149">
        <f t="shared" si="1"/>
        <v>1</v>
      </c>
    </row>
    <row r="44" spans="1:11">
      <c r="A44" s="147" t="s">
        <v>241</v>
      </c>
      <c r="B44" s="147" t="s">
        <v>129</v>
      </c>
      <c r="C44" s="147" t="s">
        <v>91</v>
      </c>
      <c r="D44" s="147" t="s">
        <v>44</v>
      </c>
      <c r="E44" s="147" t="s">
        <v>151</v>
      </c>
      <c r="F44" s="147" t="str">
        <f>+VLOOKUP(A44,'Estado SCI'!$A$16:$I$59,9,0)</f>
        <v>Mantenimiento del control</v>
      </c>
      <c r="G44" s="147">
        <f>+VLOOKUP(A44,'Estado SCI'!$A$16:$L$59,12,0)</f>
        <v>120.85123456789</v>
      </c>
      <c r="H44" s="147">
        <f t="shared" si="0"/>
        <v>43</v>
      </c>
      <c r="I44" s="147" t="str">
        <f>+IF(VLOOKUP(A44,'Estado SCI'!$A$16:$G$59,7,0)="","",VLOOKUP(A44,'Estado SCI'!$A$16:$G$59,7,0))</f>
        <v>Si</v>
      </c>
      <c r="J44" s="148">
        <f t="shared" si="2"/>
        <v>1</v>
      </c>
      <c r="K44" s="149">
        <f t="shared" si="1"/>
        <v>1</v>
      </c>
    </row>
    <row r="45" spans="1:11">
      <c r="A45" s="147" t="s">
        <v>242</v>
      </c>
      <c r="B45" s="147" t="s">
        <v>129</v>
      </c>
      <c r="C45" s="147" t="s">
        <v>91</v>
      </c>
      <c r="D45" s="147" t="s">
        <v>47</v>
      </c>
      <c r="E45" s="147" t="s">
        <v>153</v>
      </c>
      <c r="F45" s="147" t="str">
        <f>+VLOOKUP(A45,'Estado SCI'!$A$16:$I$59,9,0)</f>
        <v>Mantenimiento del control</v>
      </c>
      <c r="G45" s="147">
        <f>+VLOOKUP(A45,'Estado SCI'!$A$16:$L$59,12,0)</f>
        <v>120.851234567891</v>
      </c>
      <c r="H45" s="147">
        <f t="shared" si="0"/>
        <v>44</v>
      </c>
      <c r="I45" s="147" t="str">
        <f>+IF(VLOOKUP(A45,'Estado SCI'!$A$16:$G$59,7,0)="","",VLOOKUP(A45,'Estado SCI'!$A$16:$G$59,7,0))</f>
        <v>Si</v>
      </c>
      <c r="J45" s="148">
        <f t="shared" si="2"/>
        <v>1</v>
      </c>
      <c r="K45" s="149">
        <f t="shared" si="1"/>
        <v>1</v>
      </c>
    </row>
  </sheetData>
  <sheetProtection algorithmName="SHA-512" hashValue="eXgkKlTi9xJKAI7t6Aeb2RaFpkfyF43pI2BIhtxDc7hsl0SqLK8I4Wc7jbZwC5kw3uyIHOBIUXRnh5cC70LKYA==" saltValue="AxKzX6Ar80vT7acQV8rFpQ==" spinCount="100000" sheet="1" objects="1" scenarios="1" selectLockedCells="1"/>
  <autoFilter ref="A1:K45" xr:uid="{00000000-0009-0000-0000-00000400000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838DD27C842C245A4474A2A7556E812" ma:contentTypeVersion="12" ma:contentTypeDescription="Crear nuevo documento." ma:contentTypeScope="" ma:versionID="a8153bdb4519288626c5dc3e6e632e56">
  <xsd:schema xmlns:xsd="http://www.w3.org/2001/XMLSchema" xmlns:xs="http://www.w3.org/2001/XMLSchema" xmlns:p="http://schemas.microsoft.com/office/2006/metadata/properties" xmlns:ns2="9d4248eb-d2ff-4511-a95e-4ca877c1988c" xmlns:ns3="61511cdc-537f-4472-a26b-d5dd665e198a" targetNamespace="http://schemas.microsoft.com/office/2006/metadata/properties" ma:root="true" ma:fieldsID="66f24f92556df3ebf0596e0cc92ed148" ns2:_="" ns3:_="">
    <xsd:import namespace="9d4248eb-d2ff-4511-a95e-4ca877c1988c"/>
    <xsd:import namespace="61511cdc-537f-4472-a26b-d5dd665e198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4248eb-d2ff-4511-a95e-4ca877c198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7f49090a-7cff-4509-a609-b514d5cfedb8"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1511cdc-537f-4472-a26b-d5dd665e198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cc08bc81-38b0-47d9-8c3d-0c653eae60e3}" ma:internalName="TaxCatchAll" ma:showField="CatchAllData" ma:web="61511cdc-537f-4472-a26b-d5dd665e19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1511cdc-537f-4472-a26b-d5dd665e198a" xsi:nil="true"/>
    <lcf76f155ced4ddcb4097134ff3c332f xmlns="9d4248eb-d2ff-4511-a95e-4ca877c1988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E955478-6DB2-4060-9D96-3C6C0F2F42A4}"/>
</file>

<file path=customXml/itemProps2.xml><?xml version="1.0" encoding="utf-8"?>
<ds:datastoreItem xmlns:ds="http://schemas.openxmlformats.org/officeDocument/2006/customXml" ds:itemID="{CEE3E49F-A880-45C4-A60C-35F3214764A8}"/>
</file>

<file path=customXml/itemProps3.xml><?xml version="1.0" encoding="utf-8"?>
<ds:datastoreItem xmlns:ds="http://schemas.openxmlformats.org/officeDocument/2006/customXml" ds:itemID="{FE8A5AAD-ADB7-4F88-8C39-520D22FF847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Sala Juntas Piso 6</dc:creator>
  <cp:keywords/>
  <dc:description/>
  <cp:lastModifiedBy/>
  <cp:revision/>
  <dcterms:created xsi:type="dcterms:W3CDTF">2020-04-28T13:58:09Z</dcterms:created>
  <dcterms:modified xsi:type="dcterms:W3CDTF">2023-01-19T17:24:44Z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0x010100E838DD27C842C245A4474A2A7556E812</vt:lpwstr>
  </property>
  <property fmtid="{D5CDD505-2E9C-101B-9397-08002B2CF9AE}" pid="3" name="MediaServiceImageTags">
    <vt:lpwstr/>
  </property>
</Properties>
</file>