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hidePivotFieldList="1" defaultThemeVersion="124226"/>
  <mc:AlternateContent xmlns:mc="http://schemas.openxmlformats.org/markup-compatibility/2006">
    <mc:Choice Requires="x15">
      <x15ac:absPath xmlns:x15ac="http://schemas.microsoft.com/office/spreadsheetml/2010/11/ac" url="C:\Users\caden\Desktop\AND 2021\Riesgos 2021\"/>
    </mc:Choice>
  </mc:AlternateContent>
  <xr:revisionPtr revIDLastSave="0" documentId="13_ncr:1_{5214B40A-41EE-4156-9AB7-7C47E1B5FE1E}"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_FilterDatabase" localSheetId="1" hidden="1">'Mapa final'!$A$13:$AR$67</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5" i="18" l="1"/>
  <c r="Z54" i="19"/>
  <c r="W42" i="19"/>
  <c r="W43" i="19"/>
  <c r="K28" i="19"/>
  <c r="L24" i="18"/>
  <c r="AK44" i="19"/>
  <c r="Z32" i="19"/>
  <c r="X38" i="19"/>
  <c r="AA47" i="19"/>
  <c r="Y38" i="19"/>
  <c r="AA55" i="19"/>
  <c r="T54" i="19"/>
  <c r="R44" i="19"/>
  <c r="T55" i="19"/>
  <c r="S37" i="19"/>
  <c r="S36" i="19"/>
  <c r="T39" i="19"/>
  <c r="AA32" i="19"/>
  <c r="S44" i="19"/>
  <c r="AD38" i="19"/>
  <c r="Q44" i="19"/>
  <c r="S43" i="19"/>
  <c r="S55" i="19"/>
  <c r="W38" i="19"/>
  <c r="V43" i="19"/>
  <c r="Z38" i="19"/>
  <c r="V41" i="19"/>
  <c r="V45" i="19"/>
  <c r="J55" i="19"/>
  <c r="AF16" i="1"/>
  <c r="T26" i="18"/>
  <c r="AJ26" i="18"/>
  <c r="AL26" i="18"/>
  <c r="AJ24" i="18"/>
  <c r="AL24" i="18"/>
  <c r="AJ22" i="18"/>
  <c r="AL22" i="18"/>
  <c r="AJ28" i="18"/>
  <c r="AL28" i="18"/>
  <c r="N6" i="18"/>
  <c r="N12" i="18"/>
  <c r="X20" i="18"/>
  <c r="X28" i="18"/>
  <c r="Z26" i="18"/>
  <c r="Z28" i="18"/>
  <c r="Z44" i="18"/>
  <c r="T30" i="18"/>
  <c r="R30" i="18"/>
  <c r="T44" i="18"/>
  <c r="T22" i="18"/>
  <c r="R22" i="18"/>
  <c r="T36" i="18"/>
  <c r="Z20" i="18"/>
  <c r="AF12" i="18"/>
  <c r="T28" i="18"/>
  <c r="R38" i="1"/>
  <c r="R37" i="1"/>
  <c r="S37" i="1" s="1"/>
  <c r="T37" i="1" s="1"/>
  <c r="O37" i="1"/>
  <c r="R28" i="18"/>
  <c r="X26" i="18"/>
  <c r="U37" i="1" l="1"/>
  <c r="P37" i="1"/>
  <c r="AI63" i="1" l="1"/>
  <c r="AE63" i="1"/>
  <c r="AI59" i="1"/>
  <c r="AI58" i="1"/>
  <c r="AE59" i="1"/>
  <c r="AI32" i="1"/>
  <c r="AH32" i="1" s="1"/>
  <c r="AE32" i="1"/>
  <c r="AG32" i="1" s="1"/>
  <c r="AI18" i="1"/>
  <c r="AI54" i="1"/>
  <c r="AI55" i="1"/>
  <c r="AI52" i="1"/>
  <c r="AI50" i="1"/>
  <c r="AI48" i="1"/>
  <c r="AI46" i="1"/>
  <c r="AG16" i="1"/>
  <c r="AE17" i="1"/>
  <c r="AE54" i="1"/>
  <c r="AE52" i="1"/>
  <c r="AE50" i="1"/>
  <c r="AE46" i="1"/>
  <c r="AE16" i="1"/>
  <c r="AE15" i="1"/>
  <c r="R66" i="1"/>
  <c r="R65" i="1"/>
  <c r="R64" i="1"/>
  <c r="S64" i="1" s="1"/>
  <c r="T64" i="1" s="1"/>
  <c r="O64" i="1"/>
  <c r="AE30" i="1"/>
  <c r="AA52" i="1"/>
  <c r="X52" i="1"/>
  <c r="R60" i="1"/>
  <c r="S60" i="1" s="1"/>
  <c r="T60" i="1" s="1"/>
  <c r="O60" i="1"/>
  <c r="P60" i="1" s="1"/>
  <c r="R46" i="1"/>
  <c r="S46" i="1" s="1"/>
  <c r="T46" i="1" s="1"/>
  <c r="O46" i="1"/>
  <c r="R54" i="1"/>
  <c r="S54" i="1" s="1"/>
  <c r="T54" i="1" s="1"/>
  <c r="O54" i="1"/>
  <c r="R52" i="1"/>
  <c r="S52" i="1" s="1"/>
  <c r="T52" i="1" s="1"/>
  <c r="O52" i="1"/>
  <c r="R50" i="1"/>
  <c r="S50" i="1" s="1"/>
  <c r="T50" i="1" s="1"/>
  <c r="O50" i="1"/>
  <c r="AA25" i="1"/>
  <c r="X25" i="1"/>
  <c r="AA24" i="1"/>
  <c r="X24" i="1"/>
  <c r="AA23" i="1"/>
  <c r="X23" i="1"/>
  <c r="AF32" i="1" l="1"/>
  <c r="AJ32" i="1" s="1"/>
  <c r="AF52" i="1"/>
  <c r="U64" i="1"/>
  <c r="P64" i="1"/>
  <c r="AH52" i="1"/>
  <c r="U60" i="1"/>
  <c r="U46" i="1"/>
  <c r="P46" i="1"/>
  <c r="U52" i="1"/>
  <c r="U54" i="1"/>
  <c r="P54" i="1"/>
  <c r="P52" i="1"/>
  <c r="U50" i="1"/>
  <c r="P50" i="1"/>
  <c r="AI23" i="1"/>
  <c r="AH23" i="1" s="1"/>
  <c r="AE24" i="1"/>
  <c r="AE25" i="1"/>
  <c r="AG52" i="1" l="1"/>
  <c r="AJ52" i="1"/>
  <c r="AF25" i="1"/>
  <c r="AG25" i="1"/>
  <c r="AF24" i="1"/>
  <c r="AG24" i="1"/>
  <c r="X39" i="1" l="1"/>
  <c r="AE39" i="1" s="1"/>
  <c r="R59" i="1"/>
  <c r="R58" i="1"/>
  <c r="S58" i="1" s="1"/>
  <c r="T58" i="1" s="1"/>
  <c r="O58" i="1"/>
  <c r="AF39" i="1" l="1"/>
  <c r="AG39" i="1"/>
  <c r="AI39" i="1"/>
  <c r="AH39" i="1" s="1"/>
  <c r="U58" i="1"/>
  <c r="P58" i="1"/>
  <c r="AJ39" i="1" l="1"/>
  <c r="AA37" i="1"/>
  <c r="X37" i="1"/>
  <c r="R62" i="1" l="1"/>
  <c r="S62" i="1" s="1"/>
  <c r="T62" i="1" s="1"/>
  <c r="O62" i="1"/>
  <c r="R61" i="1"/>
  <c r="S61" i="1" s="1"/>
  <c r="T61" i="1" s="1"/>
  <c r="O61" i="1"/>
  <c r="R17" i="1"/>
  <c r="S17" i="1" s="1"/>
  <c r="T17" i="1" s="1"/>
  <c r="O17" i="1"/>
  <c r="R16" i="1"/>
  <c r="S16" i="1" s="1"/>
  <c r="T16" i="1" s="1"/>
  <c r="O16" i="1"/>
  <c r="U62" i="1" l="1"/>
  <c r="P62" i="1"/>
  <c r="U61" i="1"/>
  <c r="P61" i="1"/>
  <c r="U17" i="1"/>
  <c r="P17" i="1"/>
  <c r="U16" i="1"/>
  <c r="P16" i="1"/>
  <c r="R32" i="1" l="1"/>
  <c r="R31" i="1"/>
  <c r="R30" i="1"/>
  <c r="S30" i="1" s="1"/>
  <c r="T30" i="1" s="1"/>
  <c r="O30" i="1"/>
  <c r="R26" i="1"/>
  <c r="S26" i="1" s="1"/>
  <c r="T26" i="1" s="1"/>
  <c r="O26" i="1"/>
  <c r="U30" i="1" l="1"/>
  <c r="P30" i="1"/>
  <c r="U26" i="1"/>
  <c r="P26" i="1"/>
  <c r="R67" i="1" l="1"/>
  <c r="S67" i="1" s="1"/>
  <c r="T67" i="1" s="1"/>
  <c r="O67" i="1"/>
  <c r="X44" i="1"/>
  <c r="AI44" i="1" s="1"/>
  <c r="AH44" i="1" s="1"/>
  <c r="D25" i="15"/>
  <c r="D24" i="15"/>
  <c r="AA43" i="1"/>
  <c r="X43" i="1"/>
  <c r="AA42" i="1"/>
  <c r="X42" i="1"/>
  <c r="AA41" i="1"/>
  <c r="X41" i="1"/>
  <c r="X40" i="1"/>
  <c r="O44" i="1"/>
  <c r="P44" i="1" s="1"/>
  <c r="R44" i="1"/>
  <c r="S44" i="1" s="1"/>
  <c r="T44" i="1" s="1"/>
  <c r="O40" i="1"/>
  <c r="P40" i="1" s="1"/>
  <c r="R40" i="1"/>
  <c r="S40" i="1" s="1"/>
  <c r="T40" i="1" s="1"/>
  <c r="U67" i="1" l="1"/>
  <c r="P67" i="1"/>
  <c r="AE44" i="1"/>
  <c r="AE40" i="1"/>
  <c r="AI40" i="1"/>
  <c r="AH40" i="1" s="1"/>
  <c r="U44" i="1"/>
  <c r="U40" i="1"/>
  <c r="AF44" i="1" l="1"/>
  <c r="AJ44" i="1" s="1"/>
  <c r="AG44" i="1"/>
  <c r="AI41" i="1"/>
  <c r="AH41" i="1" s="1"/>
  <c r="AF40" i="1"/>
  <c r="AJ40" i="1" s="1"/>
  <c r="AG40" i="1"/>
  <c r="AE41" i="1" s="1"/>
  <c r="AF41" i="1" s="1"/>
  <c r="AJ41" i="1" l="1"/>
  <c r="AI43" i="1"/>
  <c r="AH43" i="1" s="1"/>
  <c r="AI42" i="1"/>
  <c r="AH42" i="1" s="1"/>
  <c r="AG41" i="1"/>
  <c r="AE42" i="1" s="1"/>
  <c r="AF42" i="1" l="1"/>
  <c r="AJ42" i="1" s="1"/>
  <c r="AG42" i="1"/>
  <c r="AE43" i="1" s="1"/>
  <c r="AF43" i="1" l="1"/>
  <c r="AJ43" i="1" s="1"/>
  <c r="AG43" i="1"/>
  <c r="AA67" i="1" l="1"/>
  <c r="X67" i="1"/>
  <c r="X64" i="1"/>
  <c r="AA64" i="1"/>
  <c r="X62" i="1"/>
  <c r="AI62" i="1" s="1"/>
  <c r="AH62" i="1" s="1"/>
  <c r="AA62" i="1"/>
  <c r="X63" i="1"/>
  <c r="AA63" i="1"/>
  <c r="X61" i="1"/>
  <c r="AA61" i="1"/>
  <c r="AI67" i="1" l="1"/>
  <c r="AH67" i="1" s="1"/>
  <c r="AE62" i="1"/>
  <c r="AG62" i="1" s="1"/>
  <c r="AF63" i="1"/>
  <c r="AE64" i="1"/>
  <c r="AG64" i="1" s="1"/>
  <c r="AE61" i="1"/>
  <c r="AF61" i="1" s="1"/>
  <c r="AI64" i="1"/>
  <c r="AH64" i="1" s="1"/>
  <c r="AE67" i="1"/>
  <c r="AH63" i="1"/>
  <c r="AI61" i="1"/>
  <c r="AH61" i="1" s="1"/>
  <c r="AF64" i="1" l="1"/>
  <c r="AJ64" i="1" s="1"/>
  <c r="AF62" i="1"/>
  <c r="AJ62" i="1" s="1"/>
  <c r="AG63" i="1"/>
  <c r="AJ61" i="1"/>
  <c r="AG61" i="1"/>
  <c r="AF67" i="1"/>
  <c r="AJ67" i="1" s="1"/>
  <c r="AG67" i="1"/>
  <c r="AJ63" i="1"/>
  <c r="AA60" i="1" l="1"/>
  <c r="X60" i="1"/>
  <c r="AI60" i="1" s="1"/>
  <c r="AH60" i="1" s="1"/>
  <c r="AA59" i="1"/>
  <c r="X59" i="1"/>
  <c r="AH59" i="1" s="1"/>
  <c r="AA58" i="1"/>
  <c r="X58" i="1"/>
  <c r="AH58" i="1" s="1"/>
  <c r="R57" i="1"/>
  <c r="R56" i="1"/>
  <c r="AA55" i="1"/>
  <c r="X55" i="1"/>
  <c r="R55" i="1"/>
  <c r="S55" i="1" s="1"/>
  <c r="T55" i="1" s="1"/>
  <c r="O55" i="1"/>
  <c r="AA54" i="1"/>
  <c r="X54" i="1"/>
  <c r="AA50" i="1"/>
  <c r="X50" i="1"/>
  <c r="AA46" i="1"/>
  <c r="X46" i="1"/>
  <c r="AH46" i="1" s="1"/>
  <c r="R39" i="1"/>
  <c r="S39" i="1" s="1"/>
  <c r="T39" i="1" s="1"/>
  <c r="O39" i="1"/>
  <c r="AI37" i="1"/>
  <c r="AH37" i="1" s="1"/>
  <c r="X35" i="1"/>
  <c r="AA35" i="1"/>
  <c r="R36" i="1"/>
  <c r="R35" i="1"/>
  <c r="S35" i="1" s="1"/>
  <c r="T35" i="1" s="1"/>
  <c r="O35" i="1"/>
  <c r="AE60" i="1" l="1"/>
  <c r="AE58" i="1"/>
  <c r="U55" i="1"/>
  <c r="AH55" i="1"/>
  <c r="P55" i="1"/>
  <c r="AE55" i="1" s="1"/>
  <c r="U39" i="1"/>
  <c r="P39" i="1"/>
  <c r="AE37" i="1"/>
  <c r="U35" i="1"/>
  <c r="P35" i="1"/>
  <c r="AF37" i="1" l="1"/>
  <c r="AJ37" i="1" s="1"/>
  <c r="AG37" i="1"/>
  <c r="AF60" i="1"/>
  <c r="AJ60" i="1" s="1"/>
  <c r="AG60" i="1"/>
  <c r="AF59" i="1"/>
  <c r="AJ59" i="1" s="1"/>
  <c r="AG59" i="1"/>
  <c r="AF58" i="1"/>
  <c r="AJ58" i="1" s="1"/>
  <c r="AG58" i="1"/>
  <c r="AG55" i="1"/>
  <c r="AF55" i="1"/>
  <c r="AJ55" i="1" s="1"/>
  <c r="AF54" i="1"/>
  <c r="AG54" i="1"/>
  <c r="AF50" i="1"/>
  <c r="AG50" i="1"/>
  <c r="AF46" i="1"/>
  <c r="AJ46" i="1" s="1"/>
  <c r="AG46" i="1"/>
  <c r="X16" i="1" l="1"/>
  <c r="AA16" i="1"/>
  <c r="O15" i="1" l="1"/>
  <c r="P15" i="1" s="1"/>
  <c r="X15" i="1" l="1"/>
  <c r="R20" i="1"/>
  <c r="R34" i="1"/>
  <c r="R22" i="1"/>
  <c r="R24" i="1"/>
  <c r="R25" i="1"/>
  <c r="R21" i="1"/>
  <c r="R29" i="1"/>
  <c r="F221" i="13" l="1"/>
  <c r="F211" i="13"/>
  <c r="F212" i="13"/>
  <c r="F213" i="13"/>
  <c r="F214" i="13"/>
  <c r="F215" i="13"/>
  <c r="F216" i="13"/>
  <c r="F217" i="13"/>
  <c r="F218" i="13"/>
  <c r="F219" i="13"/>
  <c r="F220" i="13"/>
  <c r="F210" i="13"/>
  <c r="B221" i="13" a="1"/>
  <c r="B221" i="13" l="1"/>
  <c r="X28" i="1"/>
  <c r="AJ44" i="18" l="1"/>
  <c r="AD44" i="18"/>
  <c r="X44" i="18"/>
  <c r="R44" i="18"/>
  <c r="L44" i="18"/>
  <c r="AJ36" i="18"/>
  <c r="AD36" i="18"/>
  <c r="X36" i="18"/>
  <c r="R36" i="18"/>
  <c r="L36" i="18"/>
  <c r="AD28" i="18"/>
  <c r="L28" i="18"/>
  <c r="AJ20" i="18"/>
  <c r="AD20" i="18"/>
  <c r="L20" i="18"/>
  <c r="AJ12" i="18"/>
  <c r="AD12" i="18"/>
  <c r="X12" i="18"/>
  <c r="R12" i="18"/>
  <c r="L12" i="18"/>
  <c r="H210" i="13"/>
  <c r="AA33" i="1" l="1"/>
  <c r="X33" i="1"/>
  <c r="O33" i="1"/>
  <c r="P33" i="1" s="1"/>
  <c r="AA32" i="1"/>
  <c r="X32" i="1"/>
  <c r="AA30" i="1"/>
  <c r="X30" i="1"/>
  <c r="AA28" i="1"/>
  <c r="O28" i="1"/>
  <c r="P28" i="1" s="1"/>
  <c r="AA26" i="1"/>
  <c r="X26" i="1"/>
  <c r="O23" i="1"/>
  <c r="P23" i="1" s="1"/>
  <c r="AE23" i="1" s="1"/>
  <c r="AA19" i="1"/>
  <c r="X19" i="1"/>
  <c r="O19" i="1"/>
  <c r="AA18" i="1"/>
  <c r="X18" i="1"/>
  <c r="AA17" i="1"/>
  <c r="X17" i="1"/>
  <c r="AF23" i="1" l="1"/>
  <c r="AJ23" i="1" s="1"/>
  <c r="AG23" i="1"/>
  <c r="P19" i="1"/>
  <c r="AE33" i="1"/>
  <c r="AE28" i="1"/>
  <c r="AE26" i="1"/>
  <c r="AE19" i="1"/>
  <c r="AF19" i="1" s="1"/>
  <c r="AF17" i="1"/>
  <c r="AF33" i="1" l="1"/>
  <c r="AG33" i="1"/>
  <c r="AF30" i="1"/>
  <c r="AG30" i="1"/>
  <c r="AF28" i="1"/>
  <c r="AG28" i="1"/>
  <c r="AF26" i="1"/>
  <c r="AG26" i="1"/>
  <c r="AG19" i="1"/>
  <c r="AG17" i="1"/>
  <c r="AE18" i="1" s="1"/>
  <c r="AG18" i="1" l="1"/>
  <c r="AF18" i="1"/>
  <c r="AF15" i="1" l="1"/>
  <c r="AG15" i="1" l="1"/>
  <c r="R23" i="1" l="1"/>
  <c r="S23" i="1" s="1"/>
  <c r="R28" i="1"/>
  <c r="S28" i="1" s="1"/>
  <c r="R19" i="1"/>
  <c r="S19" i="1" s="1"/>
  <c r="R32" i="18" s="1"/>
  <c r="R33" i="1"/>
  <c r="S33" i="1" s="1"/>
  <c r="R15" i="1"/>
  <c r="S15" i="1" s="1"/>
  <c r="Z42" i="18" l="1"/>
  <c r="N42" i="18"/>
  <c r="AF26" i="18"/>
  <c r="N26" i="18"/>
  <c r="AF18" i="18"/>
  <c r="T10" i="18"/>
  <c r="N34" i="18"/>
  <c r="T34" i="18"/>
  <c r="T18" i="18"/>
  <c r="Z18" i="18"/>
  <c r="Z10" i="18"/>
  <c r="AL18" i="18"/>
  <c r="T42" i="18"/>
  <c r="AF34" i="18"/>
  <c r="AL10" i="18"/>
  <c r="N18" i="18"/>
  <c r="N10" i="18"/>
  <c r="AL34" i="18"/>
  <c r="AL42" i="18"/>
  <c r="AF10" i="18"/>
  <c r="Z34" i="18"/>
  <c r="AF42" i="18"/>
  <c r="AJ34" i="18"/>
  <c r="R34" i="18"/>
  <c r="R42" i="18"/>
  <c r="X10" i="18"/>
  <c r="X42" i="18"/>
  <c r="L42" i="18"/>
  <c r="R18" i="18"/>
  <c r="R26" i="18"/>
  <c r="L34" i="18"/>
  <c r="X34" i="18"/>
  <c r="AD18" i="18"/>
  <c r="AD34" i="18"/>
  <c r="L26" i="18"/>
  <c r="AJ10" i="18"/>
  <c r="T28" i="1"/>
  <c r="AJ42" i="18"/>
  <c r="AJ18" i="18"/>
  <c r="AD26" i="18"/>
  <c r="L10" i="18"/>
  <c r="AD10" i="18"/>
  <c r="X18" i="18"/>
  <c r="AD42" i="18"/>
  <c r="L18" i="18"/>
  <c r="R10" i="18"/>
  <c r="U28" i="1"/>
  <c r="T33" i="1"/>
  <c r="AB36" i="18"/>
  <c r="AH12" i="18"/>
  <c r="P28" i="18"/>
  <c r="AH20" i="18"/>
  <c r="P36" i="18"/>
  <c r="V12" i="18"/>
  <c r="AH28" i="18"/>
  <c r="AB20" i="18"/>
  <c r="J12" i="18"/>
  <c r="J20" i="18"/>
  <c r="U33" i="1"/>
  <c r="P44" i="18"/>
  <c r="AB44" i="18"/>
  <c r="V28" i="18"/>
  <c r="V36" i="18"/>
  <c r="J28" i="18"/>
  <c r="AH36" i="18"/>
  <c r="J44" i="18"/>
  <c r="P12" i="18"/>
  <c r="AB12" i="18"/>
  <c r="V44" i="18"/>
  <c r="AH44" i="18"/>
  <c r="V20" i="18"/>
  <c r="P20" i="18"/>
  <c r="J36" i="18"/>
  <c r="AB28" i="18"/>
  <c r="T38" i="18"/>
  <c r="AF22" i="18"/>
  <c r="N38" i="18"/>
  <c r="AF30" i="18"/>
  <c r="AL6" i="18"/>
  <c r="Z6" i="18"/>
  <c r="T14" i="18"/>
  <c r="AL30" i="18"/>
  <c r="Z22" i="18"/>
  <c r="Z14" i="18"/>
  <c r="AI16" i="1"/>
  <c r="AH16" i="1" s="1"/>
  <c r="AJ16" i="1" s="1"/>
  <c r="Z30" i="18"/>
  <c r="AL38" i="18"/>
  <c r="AL14" i="18"/>
  <c r="AF6" i="18"/>
  <c r="Z38" i="18"/>
  <c r="AF14" i="18"/>
  <c r="N30" i="18"/>
  <c r="N14" i="18"/>
  <c r="N22" i="18"/>
  <c r="AF38" i="18"/>
  <c r="T6" i="18"/>
  <c r="T19" i="1"/>
  <c r="X32" i="18"/>
  <c r="AD32" i="18"/>
  <c r="AJ8" i="18"/>
  <c r="L16" i="18"/>
  <c r="AJ32" i="18"/>
  <c r="U19" i="1"/>
  <c r="R40" i="18"/>
  <c r="AJ40" i="18"/>
  <c r="AD24" i="18"/>
  <c r="R24" i="18"/>
  <c r="AJ16" i="18"/>
  <c r="AD8" i="18"/>
  <c r="L32" i="18"/>
  <c r="L40" i="18"/>
  <c r="R16"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T15" i="1"/>
  <c r="AI15" i="1" s="1"/>
  <c r="U15"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T23" i="1"/>
  <c r="AF32" i="18"/>
  <c r="AL8" i="18"/>
  <c r="T24" i="18"/>
  <c r="N16" i="18"/>
  <c r="T16" i="18"/>
  <c r="Z24" i="18"/>
  <c r="AF16" i="18"/>
  <c r="U23" i="1"/>
  <c r="T40" i="18"/>
  <c r="AF8" i="18"/>
  <c r="Z8" i="18"/>
  <c r="AF40" i="18"/>
  <c r="AL16" i="18"/>
  <c r="AI33" i="1" l="1"/>
  <c r="AH33" i="1" s="1"/>
  <c r="AH54" i="1"/>
  <c r="AJ54" i="1" s="1"/>
  <c r="AI17" i="1"/>
  <c r="AH17" i="1" s="1"/>
  <c r="AI30" i="1"/>
  <c r="AI28" i="1"/>
  <c r="AH28" i="1" s="1"/>
  <c r="AH15" i="1"/>
  <c r="AI26" i="1"/>
  <c r="AH26" i="1" s="1"/>
  <c r="AI19" i="1"/>
  <c r="AH19" i="1" s="1"/>
  <c r="AH50" i="1" l="1"/>
  <c r="AJ50" i="1" s="1"/>
  <c r="V50" i="19"/>
  <c r="AJ19" i="1"/>
  <c r="V51" i="19"/>
  <c r="J26" i="19"/>
  <c r="AJ15" i="1"/>
  <c r="AJ33" i="1"/>
  <c r="V55" i="19"/>
  <c r="J35" i="19"/>
  <c r="P55" i="19"/>
  <c r="AJ28" i="1"/>
  <c r="V53" i="19"/>
  <c r="AH30" i="1"/>
  <c r="AJ17" i="1"/>
  <c r="V39" i="19"/>
  <c r="AJ26" i="1"/>
  <c r="V52" i="19"/>
  <c r="AH18" i="1"/>
  <c r="K35" i="19" l="1"/>
  <c r="K54" i="19"/>
  <c r="W44" i="19"/>
  <c r="K34" i="19"/>
  <c r="W41" i="19"/>
  <c r="K31" i="19"/>
  <c r="P54" i="19"/>
  <c r="AJ30" i="1"/>
  <c r="J54" i="19"/>
  <c r="V54" i="19"/>
  <c r="V44" i="19"/>
  <c r="J34" i="19"/>
  <c r="K32" i="19"/>
  <c r="K30" i="19"/>
  <c r="W40" i="19"/>
  <c r="W39" i="19"/>
  <c r="AJ18" i="1"/>
  <c r="K33" i="19"/>
  <c r="K55" i="19" l="1"/>
  <c r="Q55" i="19"/>
  <c r="W4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<sst xmlns="http://schemas.openxmlformats.org/spreadsheetml/2006/main" count="1172" uniqueCount="576">
  <si>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</si>
  <si>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</si>
  <si>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</si>
  <si>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</si>
  <si>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</si>
  <si>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</si>
  <si>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</si>
  <si>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</si>
  <si>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</si>
  <si>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</si>
  <si>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</si>
  <si>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</si>
  <si>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</si>
  <si>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</si>
  <si>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</si>
  <si>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</si>
  <si>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</si>
  <si>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</si>
  <si>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</si>
  <si>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</si>
  <si>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</si>
  <si>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</si>
  <si>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</si>
  <si>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</si>
  <si>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</si>
  <si>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</si>
  <si>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</si>
  <si>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</si>
  <si>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</si>
  <si>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</si>
  <si>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</si>
  <si>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</si>
  <si>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</si>
  <si>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</si>
  <si>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</si>
  <si>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</si>
  <si>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</si>
  <si>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</si>
  <si>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</si>
  <si>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</si>
  <si>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</si>
  <si>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</si>
  <si>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</si>
  <si>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</si>
  <si>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</si>
  <si>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</si>
  <si>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</si>
  <si>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</si>
  <si>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</si>
  <si>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</si>
  <si>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</si>
  <si>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</si>
  <si>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</si>
  <si>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</si>
  <si>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</si>
  <si>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</si>
  <si>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</si>
  <si>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</si>
  <si>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</si>
  <si>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</si>
  <si>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</si>
  <si>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</si>
  <si>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</si>
  <si>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</si>
  <si>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</si>
  <si>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</si>
  <si>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</si>
  <si>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</si>
  <si>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</si>
  <si>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</si>
  <si>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</si>
  <si>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</si>
  <si>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</si>
  <si>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</si>
  <si>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</si>
  <si>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</si>
  <si>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</si>
  <si>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</si>
  <si>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</si>
  <si>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</si>
  <si>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</si>
  <si>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</si>
  <si>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</si>
  <si>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</si>
  <si>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</si>
  <si>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</si>
  <si>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</si>
  <si>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</si>
  <si>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</si>
  <si>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</si>
  <si>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</si>
  <si>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</si>
  <si>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</si>
  <si>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</si>
  <si>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</si>
  <si>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</si>
  <si>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</si>
  <si>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</si>
  <si>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</si>
  <si>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</si>
  <si>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</si>
  <si>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</si>
  <si>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</si>
  <si>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</si>
  <si>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</si>
  <si>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</si>
  <si>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</si>
  <si>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</si>
  <si>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</si>
  <si>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</si>
  <si>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</si>
  <si>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</si>
  <si>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</si>
  <si>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</si>
  <si>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</si>
  <si>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</si>
  <si>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</si>
  <si>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</si>
  <si>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</si>
  <si>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</si>
  <si>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</si>
  <si>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</si>
  <si>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</si>
  <si>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</si>
  <si>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</si>
  <si>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</si>
  <si>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</si>
  <si>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</si>
  <si>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</si>
  <si>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</si>
  <si>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</si>
  <si>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</si>
  <si>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</si>
  <si>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</si>
  <si>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</si>
  <si>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</si>
  <si>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</si>
  <si>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</si>
  <si>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</si>
  <si>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</si>
  <si>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</si>
  <si>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</si>
  <si>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</si>
  <si>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</si>
  <si>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</si>
  <si>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</si>
  <si>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</si>
  <si>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</si>
  <si>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</si>
  <si>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</si>
  <si>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</si>
  <si>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</si>
  <si>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</si>
  <si>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</si>
  <si>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</si>
  <si>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</si>
  <si>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</si>
  <si>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</si>
  <si>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</si>
  <si>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</si>
  <si>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</si>
  <si>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</si>
  <si>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</si>
  <si>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</si>
  <si>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</si>
  <si>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</si>
  <si>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</si>
  <si>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</si>
  <si>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</si>
  <si>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</si>
  <si>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</si>
  <si>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</si>
  <si>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</si>
  <si>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</si>
  <si>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</si>
  <si>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</si>
  <si>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</si>
  <si>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</si>
  <si>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</si>
  <si>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</si>
  <si>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</si>
  <si>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</si>
  <si>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</si>
  <si>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</si>
  <si>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</si>
  <si>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</si>
  <si>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</si>
  <si>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</si>
  <si>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</si>
  <si>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</si>
  <si>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</si>
  <si>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</si>
  <si>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</si>
  <si>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</si>
  <si>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</si>
  <si>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</si>
  <si>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</si>
  <si>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</si>
  <si>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</si>
  <si>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</si>
  <si>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</si>
  <si>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</si>
  <si>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</si>
  <si>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</si>
  <si>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</si>
  <si>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</si>
  <si>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</si>
  <si>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</si>
  <si>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</si>
  <si>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Direccionamiento Estratégico</t>
  </si>
  <si>
    <t>Definir las políticas y lineamientos institucionales que permitan dar cumplimiento a la misión y objetivos de la Agencia Nacional Digital, de acuerdo con la normatividad vigente.</t>
  </si>
  <si>
    <t xml:space="preserve">Falta de seguimiento a la gestión </t>
  </si>
  <si>
    <t xml:space="preserve">Posibilidad de incumplir los objetivos estratégicos de la Entidad por no cumplir con las metas planteadas en el Plan Estratégico Institucional debido a la falta de seguimiento a la gestión </t>
  </si>
  <si>
    <t>No cumplir con las metas planteadas en el Plan Estratégico Institucional</t>
  </si>
  <si>
    <t>El profesional de planeación realiza el seguimiento al cumplimiento de metas estratégicas y al plan de acción institucional a través de reportes mensuales y trimestrales llevados a cabo con el profesional de apoyo de planeación y reportados a MinTIC (Reportes PES por Trimestre y Reportes Plan de acción ASPA)</t>
  </si>
  <si>
    <t xml:space="preserve">Hacer seguimiento al cumplimiento de las metas estratégicas institucionales como método de control desde el Comité de Gestión y Desempeño </t>
  </si>
  <si>
    <t>Profesional de planeación</t>
  </si>
  <si>
    <t>Proceso: Seguimiento, medición, evaluación y control</t>
  </si>
  <si>
    <t>Proceso /
Proyecto</t>
  </si>
  <si>
    <t>Objetivo del Proceso / Proyecto</t>
  </si>
  <si>
    <t>Fuente:  Adaptado de la Dirección de Gestión y Desempeño Institucional de Función Pública, 2020.</t>
  </si>
  <si>
    <t>Tipo de Riesgo</t>
  </si>
  <si>
    <t>Riesgo de gestión</t>
  </si>
  <si>
    <t>N.A.</t>
  </si>
  <si>
    <t>Causa Raíz/Vulnerabilidad (para riesgos de Seguridad Digital)</t>
  </si>
  <si>
    <t>SOLO PARA RIESGOS DE SEGURIDAD DIGITAL</t>
  </si>
  <si>
    <t>El Riesgo inherente de seguridad digital se asocia a:
(Confidencialidad, Integridad y Disponibilidad)</t>
  </si>
  <si>
    <t>Activo
(Seguridad de la Información /Digital)</t>
  </si>
  <si>
    <t>Amenaza
(Seguridad de la Información /Digital)</t>
  </si>
  <si>
    <t>Tipo de Activo</t>
  </si>
  <si>
    <t>No Aplica</t>
  </si>
  <si>
    <t>Indicador</t>
  </si>
  <si>
    <t>Riesgos de Seguridad de la Información: S1, S2, etc.</t>
  </si>
  <si>
    <t>Riesgos de Gestión : G1, G2, etc</t>
  </si>
  <si>
    <t>Para diferenciar los tipos de riesgos se genera la siguiente codificación para diligenciar la columna con nombre "Referencia":</t>
  </si>
  <si>
    <t>G1</t>
  </si>
  <si>
    <t>SM.FT.15</t>
  </si>
  <si>
    <t>Versión: 1</t>
  </si>
  <si>
    <t xml:space="preserve">Formato Mapa de Riesgos de Gestión y Seguridad Digital </t>
  </si>
  <si>
    <t>15/01/2021 a 15/12/2021</t>
  </si>
  <si>
    <t>Control del cumplimiento de metas estratégicas en el CGD</t>
  </si>
  <si>
    <t>G2</t>
  </si>
  <si>
    <t>Articulación de Servicios Ciudadanos Digitales</t>
  </si>
  <si>
    <t xml:space="preserve">Coordinar la participación de todos los actores vinculados en la prestación de los Servicios Ciudadanos Digitales (SCD) con el propósito de implementarlos de acuerdo con los lineamientos del Ministerio de Tecnologías de la Información y las Comunicaciones. </t>
  </si>
  <si>
    <t>No lograr llevar a cabo la coordinación de los actores vinculados a la prestación de los servicios ciudadanos digitales</t>
  </si>
  <si>
    <t xml:space="preserve"> Falta de lineamientos, directrices o herramientas de gestión que guíen dicha coordinación para la prestación de los SCD</t>
  </si>
  <si>
    <t>El Subdirector de SCD promueve la elaboración y aprueba los lineamientos, directrices y herramientas de gestión para la vinculación de los diferentes actores para la prestación de los SCD</t>
  </si>
  <si>
    <t>Validar la aprobación e implementación de lineamientos, directrices y herramientas utilizadas para la operación de los servicios ciudadanos digitales.</t>
  </si>
  <si>
    <t>Subdirector de SCD</t>
  </si>
  <si>
    <t xml:space="preserve">1/12/2021 a 31/12/2021 </t>
  </si>
  <si>
    <t>Controles realizados/Controles  programados</t>
  </si>
  <si>
    <t>G3</t>
  </si>
  <si>
    <t>Restricciones en la actualización de nuevas versiones de X Road</t>
  </si>
  <si>
    <t xml:space="preserve">Adaptación requerida de esta herramienta a nivel de código para Colombia </t>
  </si>
  <si>
    <t>G4</t>
  </si>
  <si>
    <t>Comunicación Estratégica</t>
  </si>
  <si>
    <t>Diseñar las herramientas y estrategias de comunicación externas de la Entidad, con el propósito de lograr el posicionamiento y reconocimiento de la misma por parte de los grupos de interés, así como fortalecer la cultura organizacional e imagen corporativa de la Entidad a través de una comunicación interna participativa y dirigida a todos los niveles de la Entidad</t>
  </si>
  <si>
    <t xml:space="preserve">Generar información desarticulada de la gestión institucional </t>
  </si>
  <si>
    <t>Falta de lineamientos para la gestión de la comunicación en la Agencia</t>
  </si>
  <si>
    <t>Posibilidad de desinformar a los grupos de valor e interés de la entidad al generar información desarticulada de la gestión institucional debido a la falta de lineamientos para la gestión de la comunicación en la Agencia</t>
  </si>
  <si>
    <t>Posibilidad de incumplir con el rol de articulador de los SCD por parte de la Agencia por no lograr llevar a cabo la coordinación de los actores vinculados a la prestación de los servicios ciudadanos digitales, debido a la falta de lineamientos, directrices o herramientas de gestión que guíen dicha coordinación para la prestación de los SCD</t>
  </si>
  <si>
    <t>El profesional de comunicaciones elabora y hace aprobar por el Director de la entidad los lineamientos para la gestión de comunicaciones en la Entidad</t>
  </si>
  <si>
    <t>Profesional de Comuinicaciones</t>
  </si>
  <si>
    <t>G5</t>
  </si>
  <si>
    <t>Gestión Administrativa</t>
  </si>
  <si>
    <t>Planear, administrar, organizar y controlar los bienes y servicios adquiridos, así como gestionar los trámites inmersos en el proceso administrativo y las adecuaciones de infraestructura física que requiera la Entidad, mediante la correcta ejecución de los recursos para el adecuado funcionamiento de la Agencia Nacional Digital.</t>
  </si>
  <si>
    <t>Ausencia de control sobre los equipos</t>
  </si>
  <si>
    <t>Falta de seguimiento sobre la asignación de equipos a los contratistas por parte de los supervisores</t>
  </si>
  <si>
    <t>Posibilidad de pérdida de los equipos de cómputo de la Agencia por la ausencia de control sobre los equipos, debido a la falta de seguimiento sobre la asignación de equipos a los contratistas por parte de los supervisores</t>
  </si>
  <si>
    <t>El profesional de apoyo de TI hace la solicitud desde la Subdirección Administrativa y Financiera a los supervisores sobre la asignación de equipos a contratistas</t>
  </si>
  <si>
    <t>Profesional de apoyo de TI</t>
  </si>
  <si>
    <t>30/03/2021 a 15/04/2021</t>
  </si>
  <si>
    <t>1/04/2021 a 15/06/2021</t>
  </si>
  <si>
    <t>16/06/2021 a 15/12/2021</t>
  </si>
  <si>
    <t>01/04/2021 a 15/06/2021</t>
  </si>
  <si>
    <t>Lineamientos actualizados</t>
  </si>
  <si>
    <t>Divulgación de lineamientos</t>
  </si>
  <si>
    <t>Procedimiento aprobado</t>
  </si>
  <si>
    <t>01/06/2021 a 30/06/2021</t>
  </si>
  <si>
    <t>01/07/2021 a 30/09/2021</t>
  </si>
  <si>
    <t>13/05/2021 a 31/05/2021</t>
  </si>
  <si>
    <t>Archivo</t>
  </si>
  <si>
    <t>Manual actualizado</t>
  </si>
  <si>
    <t>Actas firmadas</t>
  </si>
  <si>
    <t>G6</t>
  </si>
  <si>
    <t>Gestión Contractual</t>
  </si>
  <si>
    <t>Gestionar y asegurar la adquisición de bienes y/o servicios en la Agencia Nacional Digital mediante la asesoría y acompañamiento de los procesos contractuales con el fin de cumplir lo dispuesto en el plan anual de adquisiciones.</t>
  </si>
  <si>
    <t xml:space="preserve"> No concurrencia de proponentes o porque estos no cumplen con los requisitos habilitantes</t>
  </si>
  <si>
    <t>Implementar una mesa técnica de revisión del proceso contractual en los casos en que se generen observaciones sobre el 30% de los requisitos técnicos</t>
  </si>
  <si>
    <t>Elaborar un procedimiento que contemple la acción de implementación de la mesa técnica de revisión</t>
  </si>
  <si>
    <t>Profesional Jurídica</t>
  </si>
  <si>
    <t>30/07/2021 a
31/12/2021</t>
  </si>
  <si>
    <t>27/05/2021 a 30/07/2021</t>
  </si>
  <si>
    <t>Procedimiento elaborado y aprobado</t>
  </si>
  <si>
    <t>Registros de revisión de observaciones</t>
  </si>
  <si>
    <t>G7</t>
  </si>
  <si>
    <t>Posibilidad de incumplimiento de la Entidad en la prestación del servicio así como imposición de multas y sanciones o declaratorias de incumplimiento para la Agencia, por el incumplimiento parcial o total del contratista debido a la falta de seguimiento por parte de la supervisión del contrato</t>
  </si>
  <si>
    <t xml:space="preserve">Incumplimiento parcial o total del contratista </t>
  </si>
  <si>
    <t>Falta de seguimiento por parte de la supervisión del contrato</t>
  </si>
  <si>
    <t>El supervisor del contrato valida el cumplimiento del contratista a través de la firma del formato de Certificación de actividades y autorización de trámite para pago</t>
  </si>
  <si>
    <t>Profesional de Control Interno</t>
  </si>
  <si>
    <t>Implementar auditorías a contratos de prestación de servicios para evidenciar los casos de inclumplimiento y causas</t>
  </si>
  <si>
    <t>Elaborar planes de mejoramiento con los supervisores de los casos detectados</t>
  </si>
  <si>
    <t>01/07/2021 a
15/12/2021</t>
  </si>
  <si>
    <t>01/09/2021  a 15/12/2021</t>
  </si>
  <si>
    <t xml:space="preserve">Verificación de los equipos asignados a los colaboradores </t>
  </si>
  <si>
    <t>Actualización del Manual incluyendo el lineamiento asociado a la ditribución y/o asignación de los equipos, y la responsabiliad de los supervisores en esta</t>
  </si>
  <si>
    <t>Cruzar inventario de sinfa con contabilidad</t>
  </si>
  <si>
    <t>Divulgación de los lineamientos estratégicos de comunicaciones (Política de Comunicaciones, Plan Estratégico de Comunicaciones) a grupos de valor e interes internos y externos</t>
  </si>
  <si>
    <t>Actualización y aprobacióin de los lineamientos estratégicos de comunicaciones</t>
  </si>
  <si>
    <t>Elaboración y aprobación del plan de acción de comunicaciones 2021 que permita hacer operativos los lineamientos estratégicos</t>
  </si>
  <si>
    <t>Planes de mejora implementados</t>
  </si>
  <si>
    <t>Resultados de auditoría</t>
  </si>
  <si>
    <t>G8</t>
  </si>
  <si>
    <t xml:space="preserve"> Falta de gestión por parte del supervisor para la liquidación de mutuo acuerdo del contrato </t>
  </si>
  <si>
    <t>La profesional de apoyo a jurídica da a conocer de manera continua las guias, manuales y documentos internos en los cuales se describa la labor de supervisión</t>
  </si>
  <si>
    <t>G9</t>
  </si>
  <si>
    <t>Gestión de Grupos de Interés</t>
  </si>
  <si>
    <t>: Establecer lineamientos y coordinar las actividades tendientes a la identificación de los intereses de los grupos de valor e interes, y a la implementarción de acciones de participación, rendición de cuentas y atención de requerimientos en el marco de la gestión de la AND</t>
  </si>
  <si>
    <t>Aplicar mal los elementos normativos y lineamientos asociados a la gestión de PQRSD</t>
  </si>
  <si>
    <t>La profesional jurídica junto a la asistente de dirección y profesional de planeación elaboran y gestionan la aprobación del procedimiento de PQRSD, identificando los responsables, tiempos y posibles tipos de PQRSD, así como puntos de control en los que se verifique la respuesta de fondo desde la Subdirección correspondiente</t>
  </si>
  <si>
    <t>Realizar ajustes al procedimiento de PQRSD incluyendo los puntos de control requeridos y aprobarlo por el líder del proceso</t>
  </si>
  <si>
    <t xml:space="preserve">Revisar y verificar la existencia de puntos de control en el procedimiento de PQRSD que permitan validar la interpretación y respuesta de fondo emitida por el personal asignado </t>
  </si>
  <si>
    <t>Profesional jurídica, asistente de dirección, profesionals de planeación y control interno</t>
  </si>
  <si>
    <t>21/05/20212 a 04/06/2021</t>
  </si>
  <si>
    <t xml:space="preserve">15/05/2021 a
21/05/2021
</t>
  </si>
  <si>
    <t>Procedimiento ajustado y aprobado</t>
  </si>
  <si>
    <t>Procedimiento revisado</t>
  </si>
  <si>
    <t>Fallas al dar respuesta de fondo por la interpretación de la PQRSD por parte del personal asignado para dar respuesta</t>
  </si>
  <si>
    <t>Posibilidad de generar investigaciones y/o sanciones fiscales, disciplinarias, penales, etc por aplicar mal los elementos normativos y lineamientos asociados a la gestión de PQRSD debido a fallas al dar respuesta de fondo por la interpretación de la PQRSD por parte del personal asignado para dar respuesta</t>
  </si>
  <si>
    <t>G10</t>
  </si>
  <si>
    <t>Posibilidad de generar investigaciones y/o sanciones fiscales, disciplinarias, penales, etc por no contestar oportunamente (fuera de términos o no contestar)una PQRSD, debido a un error humano de los responsables del manejo de PQRSD en la Entidad</t>
  </si>
  <si>
    <t>No contestar oportunamente (fuera de términos o no contestar) una PQRSD</t>
  </si>
  <si>
    <t>Error humano de los responsables del manejo de PQRSD en la Entidad</t>
  </si>
  <si>
    <t>La profesional jurídica junto a la asistente de dirección y profesional de planeación elaboran y gestionan la aprobación del procedimiento de PQRSD identificando los responsables, tiempos y posibles tipos de PQRSD</t>
  </si>
  <si>
    <t xml:space="preserve">Verificar el acceso a la infomación de PQRSD del buzón de la página web para validar los tiempos de ingreso y respuesta de las  PQRSD de ese canal
</t>
  </si>
  <si>
    <t>Socializar a todos los colaboradores de la entidad que el canal oficial para el ingreso y respuesta de PQRSD es el correo de la Agencia: agencianacionaldigital@and.gov.co</t>
  </si>
  <si>
    <t>Profesional de Comunicaciones y Asistente de Dirección</t>
  </si>
  <si>
    <t>Profesional Jurídica y Profesional de Comunicaciones</t>
  </si>
  <si>
    <t>27/05/2021 a 3/06/2021</t>
  </si>
  <si>
    <t>1/06/2021 a 29/06/2021</t>
  </si>
  <si>
    <t>PQRSD que ingresan al buzón verificadas</t>
  </si>
  <si>
    <t>Capacitación realizada y piezas de comunicación divulgadas</t>
  </si>
  <si>
    <t>Gestión de Proyectos de Ciencia, Tecnología e innovación aplicada</t>
  </si>
  <si>
    <t>Formular, proponer y ejecutar proyectos de Ciencia, Tecnología e Innovación (CTI) aplicada, asociados a la creación de un ecosistema de información pública, atendiendo criterios de eficiencia, celeridad e impacto.</t>
  </si>
  <si>
    <t>Establecer lineamientos y coordinar las actividades tendientes a la identificación de los intereses de los grupos de valor e interes, y a la implementarción de acciones de participación, rendición de cuentas y atención de requerimientos en el marco de la gestión de la AND</t>
  </si>
  <si>
    <t xml:space="preserve">Posibilidad de incumplir los convenios o contratos firmados con entidades por no entregar los productos de CTI aplicada en los tiempos y con las condiciones establecidas debido a fallas en la ejecución de las etapas o subprocesos del proceso Gestión de Proyectos de CTI aplicada </t>
  </si>
  <si>
    <t>No entregar los productos de CTI aplicada en los tiempos y con las condiciones establecidas</t>
  </si>
  <si>
    <t xml:space="preserve"> Fallas en la ejecución de las etapas o subprocesos del proceso Gestión de Proyectos de CTI aplicada </t>
  </si>
  <si>
    <t>El Gerente del Proyecto realiza el seguimiento al plan de gestión de riesgos de cada proyecto junto con el cliente</t>
  </si>
  <si>
    <t>Verificar la identificación de todos los tipos de riesgos (técnicos, administrativos, financieros, talento humano, etc) en cada proyecto</t>
  </si>
  <si>
    <t xml:space="preserve">Verificar la implementación de controles y planes de tratamiento de los riesgos de cada proyecto </t>
  </si>
  <si>
    <t>Asesor de Dirección 
Subdirector de Desarrollo  Gerentes del proyecto</t>
  </si>
  <si>
    <t>1/06/2021 a
16/08/2021</t>
  </si>
  <si>
    <t>Mapa de riesgos con riesgos, controles y planes de tratamiento</t>
  </si>
  <si>
    <t>Registros de implementación de controles y planes de tratamiento</t>
  </si>
  <si>
    <t>G11</t>
  </si>
  <si>
    <t>G12</t>
  </si>
  <si>
    <t>Gestión de Talento Humano</t>
  </si>
  <si>
    <t>Planear, organizar, ejecutar y controlar las acciones que promuevan la provisión y desarrollo del talento humano, bienestar y mejoramiento de las competencias laborales, la seguridad y salud en el trabajo, así como la gestión de situaciones administrativas que se generen en el ingreso, permanencia o retiro del personal de la Entidad</t>
  </si>
  <si>
    <t>Posibilidad de que el talento humano de la Agencia no tenga mejoramiento de sus competencias, ni acciones que permitan mejorar su calidad de vida y en el trabajo a través de actividades de bienestar e incentivos, debido a la falta de desarrollo de actividades de bienestar,capacitación e incentivos, conforme a las necesidades identificadas, por la ausencia de recursos para la implementación del plan estratégico de talento humano</t>
  </si>
  <si>
    <t xml:space="preserve"> Falta de desarrollo de actividades de bienestar, capacitación e incentivos, conforme a las necesidades identificadas</t>
  </si>
  <si>
    <t>Ausencia de recursos para la implementación del plan estratégico de talento humano</t>
  </si>
  <si>
    <t>El profesional de talento humano elabora y gestiona la aprobación del plan de talento humano por parte de la Dirección, incluyendo los recursos requeridos para su implementación</t>
  </si>
  <si>
    <t>Evaluar la percepción de efectividad del plan de capacitación, bienestar e incentivos en el marco del Plan Estratégico de Talento Humano</t>
  </si>
  <si>
    <t>Profesional de Talento Humano</t>
  </si>
  <si>
    <t>01/09/2021 a
15/12/2021</t>
  </si>
  <si>
    <t>Resultados de encuesta de percepción e Informe de cumplimiento y efectividad del Plan Estratégico de Talento Humano</t>
  </si>
  <si>
    <t>G13</t>
  </si>
  <si>
    <t>Gestión de TI</t>
  </si>
  <si>
    <t>Planificar, construir, ejecutar y controlar la plataforma tecnológica (estructura, procesos y mecanismos de TI) de la Agencia Nacional Digital, con el fin de garantizar su disponibilidad, continuidad y seguridad para soportar la gestión de la Entidad y el cumplimiento de los objetivos estratégicos y misionales de esta.</t>
  </si>
  <si>
    <t>Posibilidad de afectación de la prestación del servicio misional y de la imagen institucional de la Entidad, por la indisponibilidad de los sistemas de información y servicios de TI que utiliza la Agencia, debido a fallos en la infraestructura, conectividad, bases de datos y aplicaciones</t>
  </si>
  <si>
    <t xml:space="preserve">Indisponibilidad de los sistemas de información y servicios de TI que utiliza la Agencia </t>
  </si>
  <si>
    <t>Fallos en la infraestructura, conectividad, bases de datos y aplicaciones</t>
  </si>
  <si>
    <t>Profesional Líder de TI</t>
  </si>
  <si>
    <t>19/04/2021 a 31/07/2021</t>
  </si>
  <si>
    <t>Sistema implementado</t>
  </si>
  <si>
    <t>G14</t>
  </si>
  <si>
    <t xml:space="preserve">Indisponibilidad de recursos tecnológicos y humanos para el funcionamiento de la gestión de TI </t>
  </si>
  <si>
    <t>Posibilidad de afectación en la prestación de servicios de TI para la gestión institucional debido a la indisponibilidad de recursos tecnológicos y humanos para el funcionamiento de la gestión de TI por falta de identificación de recursos tecnológicos y humanos asociados a la gestión de TI</t>
  </si>
  <si>
    <t>Falta de identificación de recursos tecnológicos y humanos asociados a la gestión de TI</t>
  </si>
  <si>
    <t>El profesional líder de TI junto con el equipo hace el diagnóstico del servicio afectado para identificar componentes de TI y proceder con su resolución o hacer el escalamiento a proveedores en los casos de servicios tercerizados</t>
  </si>
  <si>
    <t>Actualizar la identificación de recursos tecnológicos y humanos para la implementación de la Gestión de TI en la AND</t>
  </si>
  <si>
    <t>Actualizar el PETI</t>
  </si>
  <si>
    <t>1/05/2021 a 30/08/2021</t>
  </si>
  <si>
    <t>1/05/2021 a 30/08/2022</t>
  </si>
  <si>
    <t>PETI actualizado con presupuesto</t>
  </si>
  <si>
    <t>G15</t>
  </si>
  <si>
    <t>Gestión Documental</t>
  </si>
  <si>
    <t>Gestionar y controlar los documentos de la AND conforme a las disposiciones legales vigentes de gestión documental, para la producción o recepción, clasificación, distribución, consulta, organización, recuperación y disposición final, ocn el propósito de preservar la memoria institucional y promover la transparencia y acceso a la información</t>
  </si>
  <si>
    <t xml:space="preserve">Posible exposición de los expedientes a cualquier usuario sin restricciones;  pérdida de la memoria institucional; reprocesos de almacenamiento de expedientes en lugares diferentes
a los dispuestos para la custodia y control; debido a la pérdida, sustracción, inclusión y/o adulteración de documentos en los expedientes dado que no se cuenta con un archivo central ni la suficiente capacidad para el almacenamiento y custodia de los
expedientes que ingresan al inventario del archivo </t>
  </si>
  <si>
    <t>Pérdida, sustracción, inclusión y/o adulteración de documentos en los expedientes</t>
  </si>
  <si>
    <t xml:space="preserve">No se cuenta con un archivo central ni la suficiente capacidad para el almacenamiento y custodia de los
expedientes que ingresan al inventario del archivo </t>
  </si>
  <si>
    <t xml:space="preserve">El profesional de Gestión Documental realizará un diagnóstico de las necesidades relacionadas con gestión documental y archivo para generar un plan de trabajo que permita fortalecer la implementación del tema en la entidad </t>
  </si>
  <si>
    <t>Verificar las necesidades identificadas en el diagnóstico del proceso de gestión documental</t>
  </si>
  <si>
    <t>Actualizar el PINAR incluyendo un proyecto para la conformación de un archivo central</t>
  </si>
  <si>
    <t>Presentar y aprobar el PINAR ante el Comité de Gestión y Desempeño para asignación presupuestal</t>
  </si>
  <si>
    <t>Ejecutar el proyecto de coformación de un archivo central  de acuerdo con lo aprobado en el Comité</t>
  </si>
  <si>
    <t>Profesional de Gestión Documental</t>
  </si>
  <si>
    <t>26/05/2021 a 22/06/2021</t>
  </si>
  <si>
    <t>05/07/2021 a 
15/07/2021</t>
  </si>
  <si>
    <t>15/07/2021 a 25/12/2021</t>
  </si>
  <si>
    <t>PINAR actualizado</t>
  </si>
  <si>
    <t>Acta de Comité</t>
  </si>
  <si>
    <t>G16</t>
  </si>
  <si>
    <t>Gestión Financiera</t>
  </si>
  <si>
    <t>Gestionar y realizar el seguimiento a la ejecución de los recursos financieros de la AND mediante el registro de operaciones en el SIIF-Nación, así como la presentación de los estados financieros de la Entidad, con el fin de disponer de información oportuna y veraz para el cumplimiento de la ejecución del presupuesto asignado y de los objetivos propuestos por la Agencia Nacional Digital.</t>
  </si>
  <si>
    <t>Presentación extemporánea de impuestos</t>
  </si>
  <si>
    <t>Falta de conocimiento sobre los calendarios tributarios</t>
  </si>
  <si>
    <t>Verificar el pago de impuestos oportuno</t>
  </si>
  <si>
    <t>Contador y Profesional de Tesorería</t>
  </si>
  <si>
    <t xml:space="preserve">Contador </t>
  </si>
  <si>
    <t>17/05/2021 a 31/12/2021</t>
  </si>
  <si>
    <t>17/05/2021 a 31/12/2022</t>
  </si>
  <si>
    <t>Obligaciones tributarias presentadas con el aval de la RF y firma del Director</t>
  </si>
  <si>
    <t>G17</t>
  </si>
  <si>
    <t>Posibles sanciones a la Agencia por no pagar oportunamente la declaración de impuestos por no contar con flujo de caja para el pago del impuesto</t>
  </si>
  <si>
    <t xml:space="preserve"> No pagar oportunamente la declaración de impuestos </t>
  </si>
  <si>
    <t>No contar con flujo de caja para el pago del impuesto</t>
  </si>
  <si>
    <t>Generar las alertas correspondientes en el seguimiento del flujo de caja sobre los recursos para el pago de impuestos</t>
  </si>
  <si>
    <t>Profesional de presupuesto</t>
  </si>
  <si>
    <t>G18</t>
  </si>
  <si>
    <t>Posibilidad de tener acciones disciplinarias para el representante legal de la Agencia por no tener la información de los estados financieros para presentarla ante entes de control debido a la rotación del contador en la Entidad</t>
  </si>
  <si>
    <t>No tener la información de los estados financieros para presentarla ante entes de control</t>
  </si>
  <si>
    <t xml:space="preserve"> Rotación del contador en la Entidad</t>
  </si>
  <si>
    <t>El contador debe diligianciar completo el formato de entrega del cargo cuando se desvincula de la Entidad, incluyendo informacion anexa que se requiera</t>
  </si>
  <si>
    <t>Contador</t>
  </si>
  <si>
    <t>Posibilidad de tener hallazgos de los entes de control debido a que la información contable no refleje la realidad financiera de la Entidad a traves de los estados financieros  por la no conciliación de los saldos contables al no tener la información en tiempo y oportunidad</t>
  </si>
  <si>
    <t xml:space="preserve"> La información contable no refleje la realidad financiera de la Entidad a traves de los estados financieros</t>
  </si>
  <si>
    <t>No conciliación de los saldos contables al no tener la información en tiempo y oportunidad</t>
  </si>
  <si>
    <t xml:space="preserve">El contador realiza conciliacion de información contable antes de los cierres mensuales </t>
  </si>
  <si>
    <t>Elaborar e implementar el procedimiento contable que refleje el ejercicio de conciliaciones mensuales de información de cada una de las partidas que componen los estados financieros.</t>
  </si>
  <si>
    <t>Suministrar la información contable para los procesos de Auditoría periódica que desarrolla la Revisoría Fiscal</t>
  </si>
  <si>
    <t>Adelantar los planes de mejoramiento requeridos de acuerdo a los hallazgos encontrados en los procesos de Auditoría</t>
  </si>
  <si>
    <t>26/05/2021  a 30/06/2021</t>
  </si>
  <si>
    <t xml:space="preserve">17/05/2021 
Mensual </t>
  </si>
  <si>
    <t>Conciliaciones mensuales</t>
  </si>
  <si>
    <t>Valor de los hallazgos encontrados y subsanados y llevar a cabo los registros de implementación del plan de mejora elaborado</t>
  </si>
  <si>
    <t>G19</t>
  </si>
  <si>
    <t>Gestión Jurídica</t>
  </si>
  <si>
    <t>G20</t>
  </si>
  <si>
    <t>Generar lineamientos y asesorar en asuntos jurídicos y representación judicial y prejudicial a la Agencia Nacional Digital con el fin de proteger sus intereses jurídicos</t>
  </si>
  <si>
    <t>Aplicar mal los elementos normativos y lineamientos asociados a requerimientos determinados</t>
  </si>
  <si>
    <t xml:space="preserve"> No contar con un perfil bien definido para la contratación del personal (planta y contratistas) </t>
  </si>
  <si>
    <t>No contar con un plan de capacitación que incluya los temas asociados al proceso.</t>
  </si>
  <si>
    <t>El Subdirector Jurídico genera un proceso de selección que cuente con el perfil que cumpla con los requerimientos de formación y experiencia acordes a la necesidad del proceso jurídico</t>
  </si>
  <si>
    <t>El Subdirector Jurídico solicita la inclusión en el Plan de Capacitación de la Agencia de los temas asociados al proceso de Gestión Jurídica</t>
  </si>
  <si>
    <t>G21</t>
  </si>
  <si>
    <t xml:space="preserve"> Incumplimiento del debido proceso en el marco de la defensa judicial</t>
  </si>
  <si>
    <t>No llevar a cabo las acciones legales de manera correcta y oportuna durante la defensa judicial</t>
  </si>
  <si>
    <t>El Subdirector Jurídico aprueba un procedimiento de defensa judicial en el que se identifiquen los puntos de control para el cumplimiento de las acciones legales dentro del proceso</t>
  </si>
  <si>
    <t xml:space="preserve">Verificar la implementación de los puntos de control identificados en los procedimientos de gestión jurídica </t>
  </si>
  <si>
    <t>20/05/2021 a 15/06/2021</t>
  </si>
  <si>
    <t xml:space="preserve">Profesional Jurídica  </t>
  </si>
  <si>
    <t>Registro de la verificación</t>
  </si>
  <si>
    <t>G22</t>
  </si>
  <si>
    <t xml:space="preserve">Posibilidad de contar con soluciones tecnológicas incompletas para la integracion de los trámites y servicios de las entidades al Modelo de Servicios Ciudadanos Digitales y Gov.co debido a la demora en la definición de requerimientos para la generación de las soluciones por ausencia de personal de la entidad que defina puntualmente los requerimientos para desarrollar los productos para dicha integración </t>
  </si>
  <si>
    <t xml:space="preserve">Demora en la definición de requerimientos para la generación de las soluciones  </t>
  </si>
  <si>
    <t>Ausencia de personal de la entidad que va a integrar los trámites y servicios, que defina puntualmente los requerimientos para desarrollar los productos para dicha integración</t>
  </si>
  <si>
    <t xml:space="preserve"> Prestar los Servicios Ciudadanos Digitales Base con el fin de fortalecer el ecosistema de información digital público y contribuir a la transformación digital del Estado Colombiano, cumpliendo los lineamientos del Ministerio de Tecnologías de la Información y las Comunicaciones</t>
  </si>
  <si>
    <t>Prestación de Servicios Ciudadanos Digitales</t>
  </si>
  <si>
    <t xml:space="preserve">El Subdirector de SCD lleva a cabo el escalamiento de la necesidad de definición oportuna de los requerimientos para desarrollar los productos para la integración de trámites al Modelo de Servicios Ciudadanos Digitales y Gov.co  con la entidad asistida por la AND </t>
  </si>
  <si>
    <t>Gestionar los recursos y contratación del personal necesario para el apoyo en la implementación de los requerimientos y desarrollo de productos para la integración de trámites al Modelo de Servicios Ciudadanos Digitales y Gov.co</t>
  </si>
  <si>
    <t>1/12/2021 a 31/12/2021</t>
  </si>
  <si>
    <t>Posibilidad de no poder usar los SCD base por parte de las entidades y ciudadanía debido a la no continuidad en la prestación de los Servicios por que  los servicios que proveen las entidades a los SCD base pueden presentar inconvenientes o indisponibilidad</t>
  </si>
  <si>
    <t xml:space="preserve"> No continuidad en la prestación de los Servicios Ciudadanos Digitales</t>
  </si>
  <si>
    <t>Los servicios que proveen las entidades a los SCD base pueden presentar inconvenientes o indisponibilidad</t>
  </si>
  <si>
    <t>G23</t>
  </si>
  <si>
    <t>El Subdirector de SCD define acuerdos entre la AND y las Entidades que provean los servicios</t>
  </si>
  <si>
    <t>Validar la realización de monitoreo de los servicios ciudadanos digitales.</t>
  </si>
  <si>
    <t xml:space="preserve">Seguimiento, medición, evaluación y control </t>
  </si>
  <si>
    <t>G24</t>
  </si>
  <si>
    <t>Evaluar, hacer seguimiento y controlar el cumplimiento de las políticas, lineamientos, directrices y procesos de la Entidad, contribuyendo al mejoramiento continuo de la gestión de la Agencia Nacional Digital</t>
  </si>
  <si>
    <t xml:space="preserve">Posibilidad de incumplimir parcialmente la Política de Control Interno de MIPG por no adelantar ejercicios de evaluación que permitan fortalecer dicha política debido a  la ausencia de metodologías para el desarrollo de ejercicios de evaluación y seguimiento </t>
  </si>
  <si>
    <t xml:space="preserve">No adelantar ejercicios de evaluación que permitan fortalecer la política de control interno de MIPG </t>
  </si>
  <si>
    <t>Ausencia de metodologías para el desarrollo de ejercicios de evaluación y seguimiento de la política de control interno de MIPG</t>
  </si>
  <si>
    <t xml:space="preserve">El profesional de control interno elabora y gestiona la aprobación de herramientas de gestión que permiten el desarrollo de ejercicios de evaluación y seguimiento asociados a la política de control interno en el marco de MIPG </t>
  </si>
  <si>
    <t>Hacer una análisis de la necesidad de creación del cargo en planta de control interno que asegure la implementación de las herramientas de gestión creadas para el proceso</t>
  </si>
  <si>
    <t>Presentación ante Comité Directivo del resultado del análisis de creación del cargo de contorl interno</t>
  </si>
  <si>
    <t>Profesional de Control Interno y Profesional de Talento Humano</t>
  </si>
  <si>
    <t>19/05/20211 a 31/05/2021</t>
  </si>
  <si>
    <t>31/05/2021 a  7/06/2021</t>
  </si>
  <si>
    <t>7/06/2021 a 15/06/2021</t>
  </si>
  <si>
    <t>Documento de análisis</t>
  </si>
  <si>
    <t>Presentación a Comité Directivo</t>
  </si>
  <si>
    <t>Seguridad y Privacidad de la información</t>
  </si>
  <si>
    <t>G25</t>
  </si>
  <si>
    <t>Definir e implementar lineamientos, estrategias y actividades orientadas a la seguridad y privacidad de la información conforme a la normatividad aplicable</t>
  </si>
  <si>
    <t>Posibilidad de incumplimiento normativo, de no obtener la certificación del Sistema de Seguridad de la información y de falta de fortalecimiento de seguridad de la información en los activos y procesos críticos de la Entidad debido al incumplimiento en la implementación del Sistema de Seguridad de la Información para la Entidad por falta de un plan de trabajo para la implementación del Sistema de Seguridad de la información aprobado por la alta dirección</t>
  </si>
  <si>
    <t xml:space="preserve">Incumplimiento en la implementación del Sistema de Seguridad de la Información para la Entidad </t>
  </si>
  <si>
    <t>Falta de un plan de trabajo para la implementación del Sistema de Seguridad de la información aprobado por la alta dirección</t>
  </si>
  <si>
    <t>El líder de Seguridad de la información elabora y gestiona la aprobación del Plan para la implementación del Sistema de Seguridad y Privacidad de la información</t>
  </si>
  <si>
    <t>Realizar seguimiento a la implementación del plan del SGSI</t>
  </si>
  <si>
    <t>Profesional líder de Seguridad de la Información</t>
  </si>
  <si>
    <t>1/04/2021 a 15/12/2021</t>
  </si>
  <si>
    <t>Nivel de implementación del Sistema de Seguridad de la información</t>
  </si>
  <si>
    <t>Se hizo la actualización del plan de acción 2021, falta hacer una socialización con el director para mostrar avances a la fecha</t>
  </si>
  <si>
    <t>Plan aprobado.</t>
  </si>
  <si>
    <t xml:space="preserve">El profesional líder de TI junto con el equipo implementan soluciones tecnicas alternativas para mejorar los atibutos de calidad de la infraestructura en cuanto a disponibilidad, seguridad, rendimiento, escalabilidad y continuidad de las operaciones. </t>
  </si>
  <si>
    <t>Implementar un sistema de monitorización de la infraestructura tecnológica para los recursos que no tienen esta capacidad</t>
  </si>
  <si>
    <t xml:space="preserve">El profesional líder de TI junto con el equipo implementan un esquema de seguridad perimetral en profundidad para proteger los activos de información frente a ataques de DDoS y otro tipo de ataque cibernético. </t>
  </si>
  <si>
    <t>El profesional líder de TI identifica los recursos tecnológicos y humanos requeridos para la gestión de TI, de acuerdo con el plan definido por la entidad para este proceso - PETI</t>
  </si>
  <si>
    <t>No se ha tenido la disponibilidad del recursos para implmentar esta actividad</t>
  </si>
  <si>
    <t>El profesional líder de TI junto con el equipo actúan de manera proactiva ante alertas generadas por los sistemas de moinitorización</t>
  </si>
  <si>
    <t>60%* 40% = 24% 60% - 24% = 36% Valor probabilidad para aplicar 2o control 36% Valoración control 2 detectivo 30% 36%* 30% = 10,8% 36% - 10,8% = 25,2%</t>
  </si>
  <si>
    <t>Se hizo la actualización de la política de comunición estratégica versión 2 y 3 durante la presente vigencia complementandola con temas de seguridad de la informaicón, protección de datos personales y participación en eventos por parte del personal de la AND</t>
  </si>
  <si>
    <t>Se publicó en la intranet la actualizaicón de la política. Se elaborarán piezas de comunicación de la información actualizada en la intranet y se publicarn en redes sociales para su divultación.</t>
  </si>
  <si>
    <t>Elaboración y aprobación del procedimiento para la gestión de la información a publicar en medios de comunicación</t>
  </si>
  <si>
    <t>Hay que elaborarlo</t>
  </si>
  <si>
    <t>Se ha llevado el seguimiento periodico de la implementación del plan del SGSI, teniendo un avance actual del 59%</t>
  </si>
  <si>
    <t>Existe un plan de implementación con identificación de activos a ser monitorizados, adicionalmente se analizó y definió como herramienta de monitorización la aplicación zabbix lo cual está en análisis de viabilidad para su implementación</t>
  </si>
  <si>
    <t>Posibilidad de no adquirir los bienes y servicios que la Entidad requiere por declaración de desierto de los procesos de selección de contratación, debido a la no concurrencia de proponentes o porque estos no cumplen con los requisitos habilitantes</t>
  </si>
  <si>
    <t>Declaración de desierto de los procesos de selección de contratación</t>
  </si>
  <si>
    <t>El responsable de la solicitud del contrato en la Entidad realiza un estudio del sector y estructuración del proceso contractual que permita conocer los posibles proponentes que hay en el mercado</t>
  </si>
  <si>
    <t>Esta en revisión la elaboración del procedimiento</t>
  </si>
  <si>
    <t>Se ha implementado el ejercicio de mesas técnicas de revisión del procesos de selección de contratación, en las cuales se evalúa la necesidad y la pluralidad de oferentes</t>
  </si>
  <si>
    <t>Se tiene programada la auditoría desde la profesional de control interno para el mes de noviembre</t>
  </si>
  <si>
    <t>Se ha hecho una identificación de los posibles incumplimientos generados por contratistas con apoyo de los supervisores. Pendiente diligenciar formato de plan de mejoramiento</t>
  </si>
  <si>
    <t>El supervisor hace la gestión con el contratista para logar la liquidación de mutuo acuerdo</t>
  </si>
  <si>
    <t xml:space="preserve">Posibilidad de perder competencia para liquidar contratos de prestación de servicios en los cuales queden saldos por ejecutar, teniendo que acudir a la via judicial y/o no poder realizar la liberación de saldos correspondientes, por no lograr la liquidación de los contratos durante la etapa máxima legal establecida, debido a la falta de gestión por parte del supervisor para la liquidación de mutuo acuerdo del contrato </t>
  </si>
  <si>
    <t>No lograr la liquidación de los contratos de prestación de servcios en los cuales queden saldos por ejecutar, durante la etapa máxima legal establecida</t>
  </si>
  <si>
    <t>Se está llevando a cabo la operación de los SCD conforme a la guias de vinculación e implementación de los tres SCD, así como las herramientas de gestión internas elaboradas por la AND. Además se han hecho convenios con migración colombia avanzando en el registro de extranjeros para el tema de autenticación y la Registraduría para la autenticación sobre el registro del número de cédula. De igual manera se están implementando herramientas que permiten la evolución de los SCD
Lo anterior se enmarca en los controles realizados en los comités técnicos para la ejecución del convenio con MinTIC para la implementación de los SCD.
Actualmente, como lineamiento se está trabajando en las guías de SCD especiales</t>
  </si>
  <si>
    <t xml:space="preserve">Posibilidad de tener retrasos en el funcionamiento del servicio de interoperablidad por restricciones en la actualización de nuevas versiones de X Road debido a la adaptación requerida de esta herramienta a nivel de código para Colombia </t>
  </si>
  <si>
    <t>El profesional de proyectos de SCD junto al equipo de operaciones de TI actualiza las instalaciones de X-Road en las entidades</t>
  </si>
  <si>
    <t>El arquitecto de operaciones de TI modifica a través de la plataforma x road las nuevas versiones que se adopten</t>
  </si>
  <si>
    <t>El riesgo queda en zona de riesgo baja y no requeriría plan de tratamiento dado que ya se encuentra validada la certificación de versiones estables de X-ROAD para su puesta en producción.</t>
  </si>
  <si>
    <t>En el marco de los controles realizados en los comités técnicos para la ejecución del convenio con MinTIC para la implementación de los SCD se hace el seguimeitno a la necesidad de recursos y/o contratación de personal de los equipos técnicos que apoye la implementación de los requerimientos para la vinculación de trámites de las entidades al Modelo de SCD.</t>
  </si>
  <si>
    <t>El Subdirector de SCD, el gerente de trámites y servicios gestionan el acercamiento con las entidades y el Líder de TI estructuran e implementan el esquema de monitoreo para alertar fallas de manera oportuna sobre la prestación de SCD</t>
  </si>
  <si>
    <t>Validar el cumplimiento de los acuerdos establecidos entre la AND y las Entidades que tienen vinculados sus trámites y servicios</t>
  </si>
  <si>
    <t>Se cuenta con una herramienta de monitoreo y seguimiento a las entidades que se vinculan a los servicios. Los registros se encuentran en Power BI</t>
  </si>
  <si>
    <t>A través del seguimiento que se hace de la vinculación de los trámites se valida porcentualmente el avance de cada entidad de acuerdo con el proceso o las diferentes etapas para la vinculación.</t>
  </si>
  <si>
    <t>En el marco de las reuniones de seguimiento de cada proyecto se verifica la identificación, controles y planes de tratamiento de riesgos</t>
  </si>
  <si>
    <t>Se programará una verificación con la profesional de control interno y la Subdirección de desarrollo para corroborar la implmementación de controles y planes de tratamiento de riesgos</t>
  </si>
  <si>
    <t>17/08/2021 a 17/10/2021</t>
  </si>
  <si>
    <t>Posibilidad de generar investigaciones y/o sanciones fiscales, disciplinarias, penales, etc. al aplicar mal los elementos normativos y lineamientos asociados a requerimientos determinados, por no contar con un perfil bien definido para la contratación del personal (planta y contratistas) de la Subdirección Jurídica, o no contar con un plan de capacitación que incluya los temas asociados al proceso.</t>
  </si>
  <si>
    <t>Posible condena desfavorable para la Entidad por el incumplimiento del debido proceso en el marco de la defensa judicial, al no llevar a cabo las acciones legales de manera correcta y oportuna durante la defensa judicial</t>
  </si>
  <si>
    <t>Se validó el procedimiento existente pero durante la vigencia 2021 la Agencia no tuvo procesos judiciales activos</t>
  </si>
  <si>
    <t>En el marco de la actualización del procedimiento de PQRSD se revisó las responsabilidades y puntos de control que permitieran verificar la respuesta de fondo que se emite por los responsables</t>
  </si>
  <si>
    <t>Se elaboró el procedimiento de PQRSD y se envió a aprobación por parte de la Subdirectora Jurídica, quien actualmente lo tiene en revisión</t>
  </si>
  <si>
    <t>Se llevó a cabo el ajuste en el formulario de PQRSD desde la página web para su redireccionamiento al correo de la Agencia definido como único medio de recepción de PQRSD. Este trabajo se realizó entre comunicaciones, asistente de riección, web master, profesional jurída, etc. Teniendo en cuenta lo anterior ya no se requiere estar revisando el buzón de la página para vlidar tiempos de ingreso y respuesta de PQRSD.</t>
  </si>
  <si>
    <t xml:space="preserve">En el marco de la inducción se socializó este correo como único canal oficial para recepción de PQRSD </t>
  </si>
  <si>
    <t xml:space="preserve">Se elaboró la encuesta para evaluar la percepción de efectividad del plan de capacitación, bienstar e incentivos, la cual está en revisión y aprobación de la Subdirectora Adminitrativa y Financiera. Se espera aplicar al finalizar el mes de noviembre </t>
  </si>
  <si>
    <t xml:space="preserve">Se terminó de realizar el cruce en agosto, contando con el archivo de cruce, confirmando que corresponde lo que se tiene en dicho inventario con lo que está en SINFA. </t>
  </si>
  <si>
    <t>Se realizó la actualización del Manual y su formalización a través del SIGAND incluyendo los lineamientos asociados a la distribución y/o asignación de los equipos así como la responsabilidad de los supervisores en esta. Este manual se encuentra para revisión de todo el personal de la Entidad en la Intranet de la Agencia</t>
  </si>
  <si>
    <t>Se hizo la verificación de los equipos asignados a los colaboradores, contando con la información de ubicación de los equipos, solicitando a los colaboradores que tienen equipos en trabajo remoto evidencia de la tenencia de estos. Se cuenta con las actas firmadas de los equipos que han sido entregados a los colaboradores</t>
  </si>
  <si>
    <t>Posibles sanciones a la Agencia por presentación extemporánea de impuestos y/o obligaciones tributarias debido a la falta de conocimiento sobre los calendarios tributarios</t>
  </si>
  <si>
    <t>El Contador y la Profesional de Tesorería de la entidad monitorean los plazos de las diferentes obligaciones tributarias a través de un calendario para la entidad.</t>
  </si>
  <si>
    <t>Realizan los monitoreos permanentes a través del calendario manejado por la Subdirección y como evidencia queda la presentación oportuna de los impuestos u oblicaciones tributarias requeridas para la Agencia</t>
  </si>
  <si>
    <t>Realizar el monitoreo permanentemente del calendario por parte de los ususarios que participan en los procesos de liquidación, declaración y pago de Impuestos</t>
  </si>
  <si>
    <t>Formulario de impuestos presentado</t>
  </si>
  <si>
    <r>
      <t>Los profesional de presupuesto,</t>
    </r>
    <r>
      <rPr>
        <sz val="11"/>
        <rFont val="Calibri"/>
        <family val="2"/>
        <scheme val="minor"/>
      </rPr>
      <t xml:space="preserve"> tesorería y el contador</t>
    </r>
    <r>
      <rPr>
        <sz val="11"/>
        <color theme="1"/>
        <rFont val="Calibri"/>
        <family val="2"/>
        <scheme val="minor"/>
      </rPr>
      <t xml:space="preserve"> hacen seguimiento al flujo de caja verificando que exista el valor correspondiente al pago de impuestos</t>
    </r>
  </si>
  <si>
    <t>20/05/2021 a 31/12/2021</t>
  </si>
  <si>
    <t>Se cuenta con las obligaciones tributarias presentadas</t>
  </si>
  <si>
    <t>En el marco del seguimiento que se hace en la Subdirección Administrativa y Financiera se hace la generación de alertas correspondientes a los seguimientos del pago de impuestos y flujo de caja</t>
  </si>
  <si>
    <t>Elaborar y enviar al profesional de tesorería y presupuesto la alerta del vencimiento del IVA e ICA mínimo 15 días antes (los demas impuestos al ser impuestos retenidos no requieren de flujo de caja)</t>
  </si>
  <si>
    <t>Alerta de vencimiento de los impuestos requeridos en la actividad</t>
  </si>
  <si>
    <t>Se generarán a través de correos electrónicos las alertas descritas en la actividad</t>
  </si>
  <si>
    <t xml:space="preserve">Actas de seguimiento de la Subdirección Administrativa y Financiera </t>
  </si>
  <si>
    <t>Se elaboró el procedimiento contable, no obstante después de la revisión con planeación se definió la necesidad de elaborar un manual que integre todas las actividades contables. Se epera contar con este manual al finalizar la vigencia</t>
  </si>
  <si>
    <t>Se ha suministrado la informaicón de forma oportuna a la Revisoría Fiscal cuando lo ha requerido, incluyendo las conciliaciones mensuales</t>
  </si>
  <si>
    <t>Se elaboró el plan de mejoramiento junto con la profesional de control interno de acuerdo con los hallazgos determinados por la revisoría fiscal con corte a 30 de junio de 2021. Actualmente se están implementando las acciones. El seguimiento se hace con control interno</t>
  </si>
  <si>
    <t>Se realizó el diagnóstico de las necesidades de gestión documental el cual es soporte del PINAR</t>
  </si>
  <si>
    <t>Anexo Soporte Formulación del PINAR</t>
  </si>
  <si>
    <t>Se realizó la actualización del PINAR incluyendo el proyecto de la conformación del archivo y el ya se encuentra publico en la intranet y página web</t>
  </si>
  <si>
    <t>Se presento el PINAR ante el Comité de Gestión y Desempeño el 22 de julio quien lo aprobo teniendo en cuenta el plan de trabajo a seguir, delimitando actividades a realizar durante la presente vigenicia teniendo en cuenta la asignación presupuetal que hay para este tema. De igual manera se debe hacer el plan de acción y PAA 2022 teniendo en cuenta el presupuesto requerido para esta nueva vigencia a partir del PINAR</t>
  </si>
  <si>
    <t>Se han establecido los lineamientos para la conformación del archivo central y la implementación quedó definida para la vigencia 2022 teniendo en cuenta el presupuesto que esto requiere</t>
  </si>
  <si>
    <t>Registros de ejecución del proyecto de archivo central: la ejecución quedó para el 2022 de acuerdo con el presupuesto</t>
  </si>
  <si>
    <t xml:space="preserve">Definir las acciones que permitan dar continuidad a la gestión de control interno en la entidad, incluyendo la solicitud desde la Dirección del acta de entrega o cierre del estado del proceso de control interno en casos de rotación de personal </t>
  </si>
  <si>
    <t xml:space="preserve">Durante la vigencia 2021 se definieron acciones para dar continuidad a la gestión de control interno, tales como: 1. Elaboración y aprobación del Programa Anual de Auditorías por parte del Comité de Gestión y Desempeño; 2. Creación del Comité de Coordinación de Control Interno; 3. Elaboración y publicación de los múltiples informes de control interno.
En el caso de la rotación de personal, en el mes de agosto se generó cambio del profesional de control interno, solictandose por parte de nueva profesional el buckup del anterior profesional </t>
  </si>
  <si>
    <t>Actas de Comité de Gestión y Desempeño / Actas Comité de Coordinación de Control Interno / Acta de Comité Directivo</t>
  </si>
  <si>
    <t>El riesgo queda en zona baja y no requeriría plan de tratamiento, siendo importante mencionar que el grupo interno de la Subdirección Jurídica participó en capacitaciones ofrecidas por Colombia Compra Eficiente y el DAFP para temas asociados a gestión pública, lo que permite fortalecer la gstión asocada al análisis normativo</t>
  </si>
  <si>
    <t>El riesgo queda en zona baja y no requeriría plan de tratamiento, siendo importante mencionar que el Contador organizó la información contable en un espacio compartido con la Subdirección Administrativa y Financiera, verificando su permanente actualización mensual</t>
  </si>
  <si>
    <t xml:space="preserve">
El riesgo queda en zona baja y no requeriría plan de tratamiento, siendo importante resaltar que la Subdirección Jurídica ha realizado acciones como 1. Realizar el proceso de liquidación de contratos de OPS de acuerdo con las solicitudes generadas por la supervisión, revisando con la Subdirección Financiera la verificación de saldos; 2. se está revisando la inclusión de la actividad de liquidación en los procedimientos de gestión contractual y pagos de gestión financiera y 3. se ha realizado capacitación a través de mesas de trabajo a los supervisores sobre el cumplimiento de actividades y obligaciones a cargo de los contratistas. </t>
  </si>
  <si>
    <t>Se ha realizado el Comité de Gestión y Desempeño de manera trimestral, en el cual se ha presentado el avance del cumplimiento de metas estratégicas</t>
  </si>
  <si>
    <t>Se está llevando a cabo el análisis de la necesidad de creación del cargo por parte de la profesional de control interno y la profesional de talento humano, así como los ajustes que este cambio generaría en el manual de funciones de la entidad. Se espera tener finalizado este análisis al cierre de la vigencia.</t>
  </si>
  <si>
    <t>Se presentará ante el Comité Directivo antes de cerrar la vigencia pero hasta la vigencia 2022 se podrá presentar a Junta Directiva de la Agencia ya que es en esta instancia donde se aprueban este tipo de ajustes a la planta de personal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</si>
</sst>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0"/>
      <name val="Calibri"/>
      <family val="2"/>
      <scheme val="minor"/>
    </font>
    <font>
      <b/>
      <sz val="11"/>
      <color theme="1"/>
      <name val="Calibri"/>
      <family val="2"/>
      <scheme val="minor"/>
    </font>
    <font>
      <b/>
      <sz val="11"/>
      <color theme="1"/>
      <name val="Calibri"/>
      <family val="2"/>
    </font>
    <font>
      <b/>
      <sz val="20"/>
      <color theme="0"/>
      <name val="Calibri"/>
      <family val="2"/>
      <scheme val="minor"/>
    </font>
    <font>
      <sz val="8"/>
      <name val="Calibri"/>
      <family val="2"/>
      <scheme val="minor"/>
    </font>
    <font>
      <b/>
      <sz val="28"/>
      <name val="Calibri"/>
      <family val="2"/>
    </font>
    <font>
      <b/>
      <sz val="28"/>
      <color theme="1"/>
      <name val="Calibri"/>
      <family val="2"/>
      <scheme val="minor"/>
    </font>
    <font>
      <b/>
      <sz val="22"/>
      <color rgb="FF000000"/>
      <name val="Calibri"/>
      <family val="2"/>
    </font>
    <font>
      <b/>
      <sz val="22"/>
      <name val="Calibri"/>
      <family val="2"/>
    </font>
  </fonts>
  <fills count="2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2060"/>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9" tint="-0.249977111117893"/>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style="dashed">
        <color theme="9" tint="-0.24994659260841701"/>
      </top>
      <bottom/>
      <diagonal/>
    </border>
    <border>
      <left/>
      <right style="dashed">
        <color theme="9" tint="-0.24994659260841701"/>
      </right>
      <top/>
      <bottom/>
      <diagonal/>
    </border>
    <border>
      <left/>
      <right style="dashed">
        <color theme="9" tint="-0.24994659260841701"/>
      </right>
      <top/>
      <bottom style="dashed">
        <color theme="9" tint="-0.24994659260841701"/>
      </bottom>
      <diagonal/>
    </border>
  </borders>
  <cellStyleXfs count="5">
    <xf numFmtId="0" fontId="0" fillId="0" borderId="0"/>
    <xf numFmtId="9" fontId="14" fillId="0" borderId="0" applyFont="0" applyFill="0" applyBorder="0" applyAlignment="0" applyProtection="0"/>
    <xf numFmtId="0" fontId="42" fillId="0" borderId="0"/>
    <xf numFmtId="0" fontId="43" fillId="0" borderId="0"/>
    <xf numFmtId="0" fontId="5" fillId="0" borderId="0"/>
  </cellStyleXfs>
  <cellXfs count="59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2"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11"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11"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11"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0" fillId="3" borderId="0" xfId="0" applyFill="1"/>
    <xf numFmtId="0" fontId="44" fillId="3" borderId="49" xfId="2" applyFont="1" applyFill="1" applyBorder="1" applyProtection="1"/>
    <xf numFmtId="0" fontId="44" fillId="3" borderId="50" xfId="2" applyFont="1" applyFill="1" applyBorder="1" applyProtection="1"/>
    <xf numFmtId="0" fontId="44" fillId="3" borderId="51" xfId="2" applyFont="1" applyFill="1" applyBorder="1" applyProtection="1"/>
    <xf numFmtId="0" fontId="16" fillId="3" borderId="0" xfId="0" applyFont="1" applyFill="1" applyAlignment="1">
      <alignment vertical="center"/>
    </xf>
    <xf numFmtId="0" fontId="5" fillId="3" borderId="0" xfId="0" applyFont="1" applyFill="1"/>
    <xf numFmtId="0" fontId="33" fillId="3" borderId="0" xfId="0" applyFont="1" applyFill="1"/>
    <xf numFmtId="0" fontId="34" fillId="3" borderId="32" xfId="0" applyFont="1" applyFill="1" applyBorder="1" applyAlignment="1">
      <alignment horizontal="center" vertical="center" wrapText="1" readingOrder="1"/>
    </xf>
    <xf numFmtId="0" fontId="35" fillId="3" borderId="32" xfId="0" applyFont="1" applyFill="1" applyBorder="1" applyAlignment="1">
      <alignment horizontal="justify" vertical="center" wrapText="1" readingOrder="1"/>
    </xf>
    <xf numFmtId="9" fontId="34" fillId="3" borderId="41" xfId="0" applyNumberFormat="1" applyFont="1" applyFill="1" applyBorder="1" applyAlignment="1">
      <alignment horizontal="center" vertical="center" wrapText="1" readingOrder="1"/>
    </xf>
    <xf numFmtId="0" fontId="34" fillId="3" borderId="31" xfId="0" applyFont="1" applyFill="1" applyBorder="1" applyAlignment="1">
      <alignment horizontal="center" vertical="center" wrapText="1" readingOrder="1"/>
    </xf>
    <xf numFmtId="0" fontId="35" fillId="3" borderId="31" xfId="0" applyFont="1" applyFill="1" applyBorder="1" applyAlignment="1">
      <alignment horizontal="justify" vertical="center" wrapText="1" readingOrder="1"/>
    </xf>
    <xf numFmtId="9" fontId="34" fillId="3" borderId="36" xfId="0" applyNumberFormat="1" applyFont="1" applyFill="1" applyBorder="1" applyAlignment="1">
      <alignment horizontal="center" vertical="center" wrapText="1" readingOrder="1"/>
    </xf>
    <xf numFmtId="0" fontId="35" fillId="3" borderId="36" xfId="0" applyFont="1" applyFill="1" applyBorder="1" applyAlignment="1">
      <alignment horizontal="center" vertical="center" wrapText="1" readingOrder="1"/>
    </xf>
    <xf numFmtId="0" fontId="34" fillId="3" borderId="38" xfId="0" applyFont="1" applyFill="1" applyBorder="1" applyAlignment="1">
      <alignment horizontal="center" vertical="center" wrapText="1" readingOrder="1"/>
    </xf>
    <xf numFmtId="0" fontId="35" fillId="3" borderId="38" xfId="0" applyFont="1" applyFill="1" applyBorder="1" applyAlignment="1">
      <alignment horizontal="justify" vertical="center" wrapText="1" readingOrder="1"/>
    </xf>
    <xf numFmtId="0" fontId="35" fillId="3" borderId="39" xfId="0" applyFont="1" applyFill="1" applyBorder="1" applyAlignment="1">
      <alignment horizontal="center" vertical="center" wrapText="1" readingOrder="1"/>
    </xf>
    <xf numFmtId="0" fontId="41" fillId="3" borderId="0" xfId="0" applyFont="1" applyFill="1"/>
    <xf numFmtId="0" fontId="34" fillId="15" borderId="43" xfId="0" applyFont="1" applyFill="1" applyBorder="1" applyAlignment="1">
      <alignment horizontal="center" vertical="center" wrapText="1" readingOrder="1"/>
    </xf>
    <xf numFmtId="0" fontId="34" fillId="15" borderId="44" xfId="0" applyFont="1" applyFill="1" applyBorder="1" applyAlignment="1">
      <alignment horizontal="center" vertical="center" wrapText="1" readingOrder="1"/>
    </xf>
    <xf numFmtId="0" fontId="13" fillId="3" borderId="0" xfId="0" applyFont="1" applyFill="1"/>
    <xf numFmtId="0" fontId="28"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4" fillId="3" borderId="14" xfId="2" applyFont="1" applyFill="1" applyBorder="1" applyProtection="1"/>
    <xf numFmtId="0" fontId="49" fillId="3" borderId="0" xfId="0" applyFont="1" applyFill="1" applyBorder="1" applyAlignment="1" applyProtection="1">
      <alignment horizontal="left" vertical="center" wrapText="1"/>
    </xf>
    <xf numFmtId="0" fontId="50" fillId="3" borderId="0" xfId="0" applyFont="1" applyFill="1" applyBorder="1" applyAlignment="1" applyProtection="1">
      <alignment horizontal="left" vertical="top" wrapText="1"/>
    </xf>
    <xf numFmtId="0" fontId="44" fillId="3" borderId="0" xfId="2" applyFont="1" applyFill="1" applyBorder="1" applyProtection="1"/>
    <xf numFmtId="0" fontId="44" fillId="3" borderId="15" xfId="2" applyFont="1" applyFill="1" applyBorder="1" applyProtection="1"/>
    <xf numFmtId="0" fontId="44" fillId="3" borderId="16" xfId="2" applyFont="1" applyFill="1" applyBorder="1" applyProtection="1"/>
    <xf numFmtId="0" fontId="44" fillId="3" borderId="18" xfId="2" applyFont="1" applyFill="1" applyBorder="1" applyProtection="1"/>
    <xf numFmtId="0" fontId="44" fillId="3" borderId="17" xfId="2" applyFont="1" applyFill="1" applyBorder="1" applyProtection="1"/>
    <xf numFmtId="0" fontId="48" fillId="3" borderId="0" xfId="2" applyFont="1" applyFill="1" applyBorder="1" applyAlignment="1" applyProtection="1">
      <alignment horizontal="left" vertical="center" wrapText="1"/>
    </xf>
    <xf numFmtId="0" fontId="44" fillId="3" borderId="0" xfId="2" applyFont="1" applyFill="1" applyBorder="1" applyAlignment="1" applyProtection="1">
      <alignment horizontal="left" vertical="center" wrapText="1"/>
    </xf>
    <xf numFmtId="0" fontId="44" fillId="3" borderId="0" xfId="2" quotePrefix="1" applyFont="1" applyFill="1" applyBorder="1" applyAlignment="1" applyProtection="1">
      <alignment horizontal="left" vertical="center" wrapText="1"/>
    </xf>
    <xf numFmtId="0" fontId="44" fillId="3" borderId="15" xfId="2" applyFont="1" applyFill="1" applyBorder="1" applyAlignment="1" applyProtection="1"/>
    <xf numFmtId="0" fontId="46" fillId="3" borderId="14" xfId="2" quotePrefix="1" applyFont="1" applyFill="1" applyBorder="1" applyAlignment="1" applyProtection="1">
      <alignment horizontal="left" vertical="top" wrapText="1"/>
    </xf>
    <xf numFmtId="0" fontId="47" fillId="3" borderId="0" xfId="2" quotePrefix="1" applyFont="1" applyFill="1" applyBorder="1" applyAlignment="1" applyProtection="1">
      <alignment horizontal="left" vertical="top" wrapText="1"/>
    </xf>
    <xf numFmtId="0" fontId="47" fillId="3" borderId="15" xfId="2" quotePrefix="1" applyFont="1" applyFill="1" applyBorder="1" applyAlignment="1" applyProtection="1">
      <alignment horizontal="left" vertical="top" wrapText="1"/>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0" xfId="0" applyFont="1" applyFill="1" applyBorder="1"/>
    <xf numFmtId="0" fontId="1" fillId="3" borderId="0" xfId="0" applyFont="1" applyFill="1" applyBorder="1" applyAlignment="1">
      <alignment horizontal="center"/>
    </xf>
    <xf numFmtId="0" fontId="55" fillId="3" borderId="0" xfId="0" applyFont="1" applyFill="1" applyBorder="1" applyAlignment="1">
      <alignment horizontal="left" vertical="center"/>
    </xf>
    <xf numFmtId="0" fontId="22" fillId="3" borderId="0" xfId="0" applyFont="1" applyFill="1" applyBorder="1" applyAlignment="1">
      <alignment vertical="center"/>
    </xf>
    <xf numFmtId="0" fontId="7" fillId="3" borderId="0" xfId="0" applyFont="1" applyFill="1" applyBorder="1" applyAlignment="1" applyProtection="1">
      <alignment horizontal="left" vertical="center"/>
      <protection locked="0"/>
    </xf>
    <xf numFmtId="0" fontId="0" fillId="0" borderId="4" xfId="0" applyFont="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2" xfId="0" applyFont="1" applyBorder="1" applyAlignment="1" applyProtection="1">
      <alignment horizontal="center" vertical="center"/>
      <protection hidden="1"/>
    </xf>
    <xf numFmtId="0" fontId="0" fillId="0" borderId="2" xfId="0" applyFont="1" applyBorder="1" applyAlignment="1" applyProtection="1">
      <alignment horizontal="center" vertical="center" textRotation="90"/>
      <protection locked="0"/>
    </xf>
    <xf numFmtId="9" fontId="0" fillId="0" borderId="2" xfId="0" applyNumberFormat="1" applyFont="1" applyBorder="1" applyAlignment="1" applyProtection="1">
      <alignment horizontal="center" vertical="center"/>
      <protection hidden="1"/>
    </xf>
    <xf numFmtId="0" fontId="54" fillId="0" borderId="2" xfId="0" applyFont="1" applyFill="1" applyBorder="1" applyAlignment="1" applyProtection="1">
      <alignment horizontal="center" vertical="center" textRotation="90" wrapText="1"/>
      <protection hidden="1"/>
    </xf>
    <xf numFmtId="9" fontId="0" fillId="0" borderId="4" xfId="0" applyNumberFormat="1" applyFont="1" applyBorder="1" applyAlignment="1" applyProtection="1">
      <alignment horizontal="center" vertical="center"/>
      <protection hidden="1"/>
    </xf>
    <xf numFmtId="0" fontId="54" fillId="0" borderId="2" xfId="0" applyFont="1" applyBorder="1" applyAlignment="1" applyProtection="1">
      <alignment horizontal="center" vertical="center" textRotation="90"/>
      <protection hidden="1"/>
    </xf>
    <xf numFmtId="0" fontId="0" fillId="0" borderId="4" xfId="0" applyFont="1" applyBorder="1" applyAlignment="1" applyProtection="1">
      <alignment horizontal="center" vertical="center" textRotation="90"/>
      <protection locked="0"/>
    </xf>
    <xf numFmtId="0" fontId="0" fillId="0" borderId="2"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0" fontId="0" fillId="0" borderId="2" xfId="0" applyFont="1" applyBorder="1" applyAlignment="1" applyProtection="1">
      <alignment horizontal="justify" vertical="center"/>
      <protection locked="0"/>
    </xf>
    <xf numFmtId="0" fontId="0" fillId="0" borderId="2" xfId="0" applyFont="1" applyBorder="1" applyAlignment="1" applyProtection="1">
      <alignment horizontal="justify" vertical="center" wrapText="1"/>
      <protection locked="0"/>
    </xf>
    <xf numFmtId="0" fontId="53" fillId="16" borderId="3" xfId="0" applyFont="1" applyFill="1" applyBorder="1" applyAlignment="1">
      <alignment vertical="center"/>
    </xf>
    <xf numFmtId="0" fontId="53" fillId="16" borderId="30" xfId="0" applyFont="1" applyFill="1" applyBorder="1" applyAlignment="1">
      <alignment vertical="center"/>
    </xf>
    <xf numFmtId="0" fontId="53" fillId="18" borderId="2" xfId="0" applyFont="1" applyFill="1" applyBorder="1" applyAlignment="1">
      <alignment horizontal="center" vertical="center" textRotation="90"/>
    </xf>
    <xf numFmtId="0" fontId="4" fillId="0" borderId="0" xfId="0" applyFont="1" applyFill="1" applyAlignment="1">
      <alignment horizontal="center" vertical="center"/>
    </xf>
    <xf numFmtId="0" fontId="15" fillId="0" borderId="4" xfId="0" applyFont="1" applyBorder="1" applyAlignment="1" applyProtection="1">
      <alignment horizontal="center" vertical="center" wrapText="1"/>
      <protection locked="0"/>
    </xf>
    <xf numFmtId="0" fontId="53" fillId="18" borderId="5" xfId="0" applyFont="1" applyFill="1" applyBorder="1" applyAlignment="1">
      <alignment horizontal="center" vertical="center" wrapText="1"/>
    </xf>
    <xf numFmtId="0" fontId="54" fillId="3" borderId="0" xfId="0" applyFont="1" applyFill="1"/>
    <xf numFmtId="0" fontId="0" fillId="0" borderId="4" xfId="0" applyFont="1" applyBorder="1" applyAlignment="1" applyProtection="1">
      <alignment horizontal="center" vertical="center" wrapText="1"/>
    </xf>
    <xf numFmtId="14" fontId="0" fillId="0" borderId="2" xfId="0" applyNumberFormat="1" applyFont="1" applyBorder="1" applyAlignment="1" applyProtection="1">
      <alignment horizontal="center" vertical="center" wrapText="1"/>
      <protection locked="0"/>
    </xf>
    <xf numFmtId="0" fontId="0" fillId="0" borderId="4" xfId="0" applyFont="1" applyBorder="1" applyAlignment="1" applyProtection="1">
      <alignment horizontal="center" vertical="center" textRotation="90"/>
      <protection locked="0"/>
    </xf>
    <xf numFmtId="0" fontId="0" fillId="0" borderId="4" xfId="0" applyFont="1" applyBorder="1" applyAlignment="1" applyProtection="1">
      <alignment horizontal="center" vertical="center" wrapText="1"/>
    </xf>
    <xf numFmtId="0" fontId="15" fillId="0" borderId="4" xfId="0" applyFont="1" applyBorder="1" applyAlignment="1" applyProtection="1">
      <alignment horizontal="center" vertical="center" wrapText="1"/>
      <protection locked="0"/>
    </xf>
    <xf numFmtId="9" fontId="0" fillId="0" borderId="4" xfId="0" applyNumberFormat="1" applyFont="1" applyBorder="1" applyAlignment="1" applyProtection="1">
      <alignment horizontal="center" vertical="center"/>
      <protection hidden="1"/>
    </xf>
    <xf numFmtId="0" fontId="0" fillId="0" borderId="4" xfId="0" applyFont="1" applyBorder="1" applyAlignment="1" applyProtection="1">
      <alignment horizontal="center" vertical="center" textRotation="90"/>
      <protection locked="0"/>
    </xf>
    <xf numFmtId="0" fontId="0" fillId="0" borderId="0" xfId="0" applyFont="1" applyAlignment="1">
      <alignment wrapText="1"/>
    </xf>
    <xf numFmtId="0" fontId="0" fillId="0" borderId="73" xfId="0" applyFont="1" applyBorder="1" applyAlignment="1">
      <alignment horizontal="center" vertical="center"/>
    </xf>
    <xf numFmtId="0" fontId="0" fillId="0" borderId="0" xfId="0" applyFont="1" applyAlignment="1">
      <alignment vertical="center" wrapText="1"/>
    </xf>
    <xf numFmtId="0" fontId="54" fillId="0" borderId="8" xfId="0" applyFont="1" applyFill="1" applyBorder="1" applyAlignment="1" applyProtection="1">
      <alignment vertical="center" wrapText="1"/>
      <protection hidden="1"/>
    </xf>
    <xf numFmtId="9" fontId="0" fillId="0" borderId="4" xfId="0" applyNumberFormat="1" applyFont="1" applyBorder="1" applyAlignment="1" applyProtection="1">
      <alignment vertical="center" wrapText="1"/>
      <protection hidden="1"/>
    </xf>
    <xf numFmtId="9" fontId="0" fillId="0" borderId="8" xfId="0" applyNumberFormat="1" applyFont="1" applyBorder="1" applyAlignment="1" applyProtection="1">
      <alignment vertical="center" wrapText="1"/>
      <protection hidden="1"/>
    </xf>
    <xf numFmtId="0" fontId="0" fillId="0" borderId="4" xfId="0" applyFont="1" applyBorder="1" applyAlignment="1" applyProtection="1">
      <alignment vertical="center" wrapText="1"/>
      <protection locked="0"/>
    </xf>
    <xf numFmtId="0" fontId="0" fillId="0" borderId="4" xfId="0" applyFont="1" applyBorder="1" applyAlignment="1" applyProtection="1">
      <alignment vertical="center" wrapText="1"/>
    </xf>
    <xf numFmtId="0" fontId="15" fillId="0" borderId="4" xfId="0" applyFont="1" applyBorder="1" applyAlignment="1" applyProtection="1">
      <alignment vertical="center" wrapText="1"/>
      <protection locked="0"/>
    </xf>
    <xf numFmtId="0" fontId="0" fillId="0" borderId="8" xfId="0" applyFont="1" applyBorder="1" applyAlignment="1" applyProtection="1">
      <alignment vertical="center"/>
      <protection locked="0"/>
    </xf>
    <xf numFmtId="9" fontId="0" fillId="0" borderId="4" xfId="0" applyNumberFormat="1" applyFont="1" applyBorder="1" applyAlignment="1" applyProtection="1">
      <alignment vertical="center" wrapText="1"/>
      <protection locked="0"/>
    </xf>
    <xf numFmtId="9" fontId="0" fillId="0" borderId="8" xfId="0" applyNumberFormat="1" applyFont="1" applyBorder="1" applyAlignment="1" applyProtection="1">
      <alignment vertical="center" wrapText="1"/>
      <protection locked="0"/>
    </xf>
    <xf numFmtId="0" fontId="0" fillId="0" borderId="4" xfId="0" applyFont="1" applyBorder="1" applyAlignment="1" applyProtection="1">
      <alignment horizontal="center" vertical="center" wrapText="1"/>
    </xf>
    <xf numFmtId="0" fontId="15" fillId="0" borderId="4"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textRotation="90"/>
      <protection locked="0"/>
    </xf>
    <xf numFmtId="9" fontId="0" fillId="0" borderId="4" xfId="0" applyNumberFormat="1" applyFont="1" applyBorder="1" applyAlignment="1" applyProtection="1">
      <alignment horizontal="center" vertical="center"/>
      <protection hidden="1"/>
    </xf>
    <xf numFmtId="0" fontId="1" fillId="0" borderId="0" xfId="0" applyFont="1" applyAlignment="1">
      <alignment vertical="center" wrapText="1"/>
    </xf>
    <xf numFmtId="0" fontId="0" fillId="0" borderId="0" xfId="0" applyFont="1" applyBorder="1" applyAlignment="1" applyProtection="1">
      <alignment vertical="center" wrapText="1"/>
    </xf>
    <xf numFmtId="0" fontId="0" fillId="0" borderId="29" xfId="0" applyFont="1" applyBorder="1" applyAlignment="1" applyProtection="1">
      <alignment vertical="center" wrapText="1"/>
    </xf>
    <xf numFmtId="0" fontId="0"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9" fontId="0" fillId="0" borderId="4" xfId="0" applyNumberFormat="1" applyFont="1" applyBorder="1" applyAlignment="1" applyProtection="1">
      <alignment horizontal="center" vertical="center" wrapText="1"/>
      <protection hidden="1"/>
    </xf>
    <xf numFmtId="0" fontId="0"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0" fillId="0" borderId="4" xfId="0" applyFont="1" applyBorder="1" applyAlignment="1" applyProtection="1">
      <alignment horizontal="center" vertical="center"/>
    </xf>
    <xf numFmtId="0" fontId="0" fillId="0" borderId="4" xfId="0" applyFont="1" applyBorder="1" applyAlignment="1" applyProtection="1">
      <alignment horizontal="center" vertical="center" wrapText="1"/>
    </xf>
    <xf numFmtId="9" fontId="0" fillId="0" borderId="4" xfId="0" applyNumberFormat="1" applyFont="1" applyBorder="1" applyAlignment="1" applyProtection="1">
      <alignment horizontal="center" vertical="center" wrapText="1"/>
      <protection hidden="1"/>
    </xf>
    <xf numFmtId="0" fontId="54" fillId="0" borderId="4" xfId="0" applyFont="1" applyFill="1" applyBorder="1" applyAlignment="1" applyProtection="1">
      <alignment horizontal="center" vertical="center" wrapText="1"/>
      <protection hidden="1"/>
    </xf>
    <xf numFmtId="0" fontId="54" fillId="0" borderId="4" xfId="0" applyFont="1" applyBorder="1" applyAlignment="1" applyProtection="1">
      <alignment horizontal="center" vertical="center"/>
      <protection hidden="1"/>
    </xf>
    <xf numFmtId="0" fontId="0" fillId="0" borderId="4"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protection locked="0"/>
    </xf>
    <xf numFmtId="9" fontId="0" fillId="0" borderId="4" xfId="0" applyNumberFormat="1" applyFont="1" applyBorder="1" applyAlignment="1" applyProtection="1">
      <alignment horizontal="center" vertical="center"/>
      <protection hidden="1"/>
    </xf>
    <xf numFmtId="0" fontId="0" fillId="0" borderId="0" xfId="0" applyFont="1" applyBorder="1" applyAlignment="1" applyProtection="1">
      <alignment vertical="center"/>
    </xf>
    <xf numFmtId="0" fontId="0" fillId="0" borderId="4"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0" fillId="0" borderId="4" xfId="0" applyFont="1" applyBorder="1" applyAlignment="1" applyProtection="1">
      <alignment horizontal="left" vertical="center" wrapText="1"/>
      <protection locked="0"/>
    </xf>
    <xf numFmtId="9" fontId="0" fillId="0" borderId="4" xfId="0" applyNumberFormat="1" applyFont="1" applyBorder="1" applyAlignment="1" applyProtection="1">
      <alignment horizontal="center" vertical="center" wrapText="1"/>
      <protection hidden="1"/>
    </xf>
    <xf numFmtId="0" fontId="54" fillId="0" borderId="4"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locked="0"/>
    </xf>
    <xf numFmtId="0" fontId="54" fillId="0" borderId="4" xfId="0" applyFont="1" applyFill="1" applyBorder="1" applyAlignment="1" applyProtection="1">
      <alignment horizontal="center" vertical="center" wrapText="1"/>
      <protection hidden="1"/>
    </xf>
    <xf numFmtId="9" fontId="5" fillId="3" borderId="0" xfId="0" applyNumberFormat="1" applyFont="1" applyFill="1"/>
    <xf numFmtId="9" fontId="5" fillId="3" borderId="0" xfId="1" applyFont="1" applyFill="1"/>
    <xf numFmtId="0" fontId="0" fillId="0" borderId="0" xfId="0" applyFont="1" applyAlignment="1">
      <alignment horizontal="center" vertical="center"/>
    </xf>
    <xf numFmtId="9" fontId="0" fillId="0" borderId="4" xfId="0" applyNumberFormat="1" applyFont="1" applyBorder="1" applyAlignment="1" applyProtection="1">
      <alignment horizontal="center" vertical="center" wrapText="1"/>
      <protection hidden="1"/>
    </xf>
    <xf numFmtId="0" fontId="54" fillId="0" borderId="4"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locked="0"/>
    </xf>
    <xf numFmtId="0" fontId="54" fillId="0" borderId="4" xfId="0" applyFont="1" applyFill="1" applyBorder="1" applyAlignment="1" applyProtection="1">
      <alignment horizontal="center" vertical="center" wrapText="1"/>
      <protection hidden="1"/>
    </xf>
    <xf numFmtId="9" fontId="0" fillId="0" borderId="4" xfId="0" applyNumberFormat="1" applyFont="1" applyBorder="1" applyAlignment="1" applyProtection="1">
      <alignment horizontal="center" vertical="center"/>
      <protection hidden="1"/>
    </xf>
    <xf numFmtId="9" fontId="0" fillId="0" borderId="4" xfId="0" applyNumberFormat="1" applyFont="1" applyBorder="1" applyAlignment="1" applyProtection="1">
      <alignment horizontal="center" vertical="center" wrapText="1"/>
      <protection hidden="1"/>
    </xf>
    <xf numFmtId="0" fontId="54" fillId="0" borderId="4"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locked="0"/>
    </xf>
    <xf numFmtId="0" fontId="54" fillId="0" borderId="4" xfId="0" applyFont="1" applyFill="1" applyBorder="1" applyAlignment="1" applyProtection="1">
      <alignment horizontal="center" vertical="center" wrapText="1"/>
      <protection hidden="1"/>
    </xf>
    <xf numFmtId="9" fontId="0" fillId="0" borderId="4" xfId="0" applyNumberFormat="1" applyFont="1" applyBorder="1" applyAlignment="1" applyProtection="1">
      <alignment horizontal="center" vertical="center" wrapText="1"/>
      <protection hidden="1"/>
    </xf>
    <xf numFmtId="0" fontId="54" fillId="0" borderId="4"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locked="0"/>
    </xf>
    <xf numFmtId="0" fontId="54" fillId="0" borderId="4" xfId="0" applyFont="1" applyFill="1" applyBorder="1" applyAlignment="1" applyProtection="1">
      <alignment horizontal="center" vertical="center" wrapText="1"/>
      <protection hidden="1"/>
    </xf>
    <xf numFmtId="0" fontId="0" fillId="0" borderId="4" xfId="0" applyFont="1" applyBorder="1" applyAlignment="1" applyProtection="1">
      <alignment horizontal="center" vertical="center"/>
      <protection locked="0"/>
    </xf>
    <xf numFmtId="0" fontId="54" fillId="0" borderId="4" xfId="0" applyFont="1" applyFill="1" applyBorder="1" applyAlignment="1" applyProtection="1">
      <alignment horizontal="center" vertical="center" wrapText="1"/>
      <protection hidden="1"/>
    </xf>
    <xf numFmtId="9" fontId="0" fillId="0" borderId="4" xfId="0" applyNumberFormat="1" applyFont="1" applyBorder="1" applyAlignment="1" applyProtection="1">
      <alignment horizontal="center" vertical="center" wrapText="1"/>
      <protection hidden="1"/>
    </xf>
    <xf numFmtId="0" fontId="54" fillId="0" borderId="4" xfId="0" applyFont="1" applyBorder="1" applyAlignment="1" applyProtection="1">
      <alignment horizontal="center" vertical="center"/>
      <protection hidden="1"/>
    </xf>
    <xf numFmtId="9" fontId="1" fillId="3" borderId="0" xfId="0" applyNumberFormat="1" applyFont="1" applyFill="1"/>
    <xf numFmtId="9" fontId="53" fillId="16" borderId="30" xfId="0" applyNumberFormat="1" applyFont="1" applyFill="1" applyBorder="1" applyAlignment="1">
      <alignment vertical="center"/>
    </xf>
    <xf numFmtId="9" fontId="0" fillId="0" borderId="2" xfId="1" applyNumberFormat="1" applyFont="1" applyBorder="1" applyAlignment="1">
      <alignment horizontal="center" vertical="center"/>
    </xf>
    <xf numFmtId="9" fontId="0" fillId="0" borderId="2" xfId="0" applyNumberFormat="1" applyFont="1" applyBorder="1" applyAlignment="1" applyProtection="1">
      <alignment horizontal="center" vertical="center" wrapText="1"/>
      <protection locked="0"/>
    </xf>
    <xf numFmtId="9" fontId="1" fillId="0" borderId="0" xfId="0" applyNumberFormat="1" applyFont="1"/>
    <xf numFmtId="0" fontId="0" fillId="0" borderId="4" xfId="0" applyFont="1" applyFill="1" applyBorder="1" applyAlignment="1" applyProtection="1">
      <alignment horizontal="center" vertical="center" textRotation="90"/>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60" fillId="12" borderId="14" xfId="0" applyFont="1" applyFill="1" applyBorder="1" applyAlignment="1" applyProtection="1">
      <alignment horizontal="center" wrapText="1" readingOrder="1"/>
      <protection hidden="1"/>
    </xf>
    <xf numFmtId="0" fontId="60" fillId="12" borderId="0" xfId="0" applyFont="1" applyFill="1" applyBorder="1" applyAlignment="1" applyProtection="1">
      <alignment horizontal="center" wrapText="1" readingOrder="1"/>
      <protection hidden="1"/>
    </xf>
    <xf numFmtId="0" fontId="60" fillId="12" borderId="15" xfId="0" applyFont="1" applyFill="1" applyBorder="1" applyAlignment="1" applyProtection="1">
      <alignment horizontal="center" wrapText="1" readingOrder="1"/>
      <protection hidden="1"/>
    </xf>
    <xf numFmtId="0" fontId="60" fillId="12" borderId="16" xfId="0" applyFont="1" applyFill="1" applyBorder="1" applyAlignment="1" applyProtection="1">
      <alignment horizontal="center" wrapText="1" readingOrder="1"/>
      <protection hidden="1"/>
    </xf>
    <xf numFmtId="0" fontId="60" fillId="12" borderId="18" xfId="0" applyFont="1" applyFill="1" applyBorder="1" applyAlignment="1" applyProtection="1">
      <alignment horizontal="center" wrapText="1" readingOrder="1"/>
      <protection hidden="1"/>
    </xf>
    <xf numFmtId="0" fontId="60" fillId="12" borderId="17" xfId="0" applyFont="1" applyFill="1" applyBorder="1" applyAlignment="1" applyProtection="1">
      <alignment horizontal="center" wrapText="1" readingOrder="1"/>
      <protection hidden="1"/>
    </xf>
    <xf numFmtId="0" fontId="60" fillId="12" borderId="12" xfId="0" applyFont="1" applyFill="1" applyBorder="1" applyAlignment="1" applyProtection="1">
      <alignment horizontal="center" wrapText="1" readingOrder="1"/>
      <protection hidden="1"/>
    </xf>
    <xf numFmtId="0" fontId="60" fillId="12" borderId="19" xfId="0" applyFont="1" applyFill="1" applyBorder="1" applyAlignment="1" applyProtection="1">
      <alignment horizontal="center" wrapText="1" readingOrder="1"/>
      <protection hidden="1"/>
    </xf>
    <xf numFmtId="0" fontId="60" fillId="12" borderId="13" xfId="0" applyFont="1" applyFill="1" applyBorder="1" applyAlignment="1" applyProtection="1">
      <alignment horizontal="center" wrapText="1" readingOrder="1"/>
      <protection hidden="1"/>
    </xf>
    <xf numFmtId="0" fontId="61" fillId="13" borderId="12" xfId="0" applyFont="1" applyFill="1" applyBorder="1" applyAlignment="1" applyProtection="1">
      <alignment horizontal="center" wrapText="1" readingOrder="1"/>
      <protection hidden="1"/>
    </xf>
    <xf numFmtId="0" fontId="61" fillId="11" borderId="14" xfId="0" applyFont="1" applyFill="1" applyBorder="1" applyAlignment="1" applyProtection="1">
      <alignment horizontal="center" vertical="center" wrapText="1" readingOrder="1"/>
      <protection hidden="1"/>
    </xf>
    <xf numFmtId="0" fontId="61" fillId="11" borderId="0" xfId="0" applyFont="1" applyFill="1" applyBorder="1" applyAlignment="1" applyProtection="1">
      <alignment horizontal="center" vertical="center" wrapText="1" readingOrder="1"/>
      <protection hidden="1"/>
    </xf>
    <xf numFmtId="0" fontId="61" fillId="11" borderId="15" xfId="0" applyFont="1" applyFill="1" applyBorder="1" applyAlignment="1" applyProtection="1">
      <alignment horizontal="center" vertical="center" wrapText="1" readingOrder="1"/>
      <protection hidden="1"/>
    </xf>
    <xf numFmtId="0" fontId="61" fillId="11" borderId="0" xfId="0" applyFont="1" applyFill="1" applyAlignment="1" applyProtection="1">
      <alignment horizontal="center" vertical="center" wrapText="1" readingOrder="1"/>
      <protection hidden="1"/>
    </xf>
    <xf numFmtId="0" fontId="61" fillId="11" borderId="16" xfId="0" applyFont="1" applyFill="1" applyBorder="1" applyAlignment="1" applyProtection="1">
      <alignment horizontal="center" vertical="center" wrapText="1" readingOrder="1"/>
      <protection hidden="1"/>
    </xf>
    <xf numFmtId="0" fontId="61" fillId="11" borderId="18" xfId="0" applyFont="1" applyFill="1" applyBorder="1" applyAlignment="1" applyProtection="1">
      <alignment horizontal="center" vertical="center" wrapText="1" readingOrder="1"/>
      <protection hidden="1"/>
    </xf>
    <xf numFmtId="0" fontId="61" fillId="11" borderId="17" xfId="0" applyFont="1" applyFill="1" applyBorder="1" applyAlignment="1" applyProtection="1">
      <alignment horizontal="center" vertical="center" wrapText="1" readingOrder="1"/>
      <protection hidden="1"/>
    </xf>
    <xf numFmtId="0" fontId="61" fillId="13" borderId="19" xfId="0" applyFont="1" applyFill="1" applyBorder="1" applyAlignment="1" applyProtection="1">
      <alignment horizontal="center" wrapText="1" readingOrder="1"/>
      <protection hidden="1"/>
    </xf>
    <xf numFmtId="0" fontId="61" fillId="13" borderId="13" xfId="0" applyFont="1" applyFill="1" applyBorder="1" applyAlignment="1" applyProtection="1">
      <alignment horizontal="center" wrapText="1" readingOrder="1"/>
      <protection hidden="1"/>
    </xf>
    <xf numFmtId="0" fontId="61" fillId="11" borderId="12" xfId="0" applyFont="1" applyFill="1" applyBorder="1" applyAlignment="1" applyProtection="1">
      <alignment horizontal="center" vertical="center" wrapText="1" readingOrder="1"/>
      <protection hidden="1"/>
    </xf>
    <xf numFmtId="0" fontId="61" fillId="11" borderId="19" xfId="0" applyFont="1" applyFill="1" applyBorder="1" applyAlignment="1" applyProtection="1">
      <alignment horizontal="center" vertical="center" wrapText="1" readingOrder="1"/>
      <protection hidden="1"/>
    </xf>
    <xf numFmtId="0" fontId="61" fillId="11" borderId="13" xfId="0" applyFont="1" applyFill="1" applyBorder="1" applyAlignment="1" applyProtection="1">
      <alignment horizontal="center" vertical="center" wrapText="1" readingOrder="1"/>
      <protection hidden="1"/>
    </xf>
    <xf numFmtId="0" fontId="61" fillId="13" borderId="14" xfId="0" applyFont="1" applyFill="1" applyBorder="1" applyAlignment="1" applyProtection="1">
      <alignment horizontal="center" wrapText="1" readingOrder="1"/>
      <protection hidden="1"/>
    </xf>
    <xf numFmtId="0" fontId="61" fillId="13" borderId="0" xfId="0" applyFont="1" applyFill="1" applyBorder="1" applyAlignment="1" applyProtection="1">
      <alignment horizontal="center" wrapText="1" readingOrder="1"/>
      <protection hidden="1"/>
    </xf>
    <xf numFmtId="0" fontId="61" fillId="13" borderId="15" xfId="0" applyFont="1" applyFill="1" applyBorder="1" applyAlignment="1" applyProtection="1">
      <alignment horizontal="center" wrapText="1" readingOrder="1"/>
      <protection hidden="1"/>
    </xf>
    <xf numFmtId="0" fontId="61" fillId="13" borderId="16" xfId="0" applyFont="1" applyFill="1" applyBorder="1" applyAlignment="1" applyProtection="1">
      <alignment horizontal="center" wrapText="1" readingOrder="1"/>
      <protection hidden="1"/>
    </xf>
    <xf numFmtId="0" fontId="61" fillId="13" borderId="18" xfId="0" applyFont="1" applyFill="1" applyBorder="1" applyAlignment="1" applyProtection="1">
      <alignment horizontal="center" wrapText="1" readingOrder="1"/>
      <protection hidden="1"/>
    </xf>
    <xf numFmtId="0" fontId="61" fillId="13" borderId="17" xfId="0" applyFont="1" applyFill="1" applyBorder="1" applyAlignment="1" applyProtection="1">
      <alignment horizontal="center" wrapText="1" readingOrder="1"/>
      <protection hidden="1"/>
    </xf>
    <xf numFmtId="0" fontId="61" fillId="5" borderId="12" xfId="0" applyFont="1" applyFill="1" applyBorder="1" applyAlignment="1" applyProtection="1">
      <alignment horizontal="center" wrapText="1" readingOrder="1"/>
      <protection hidden="1"/>
    </xf>
    <xf numFmtId="0" fontId="61" fillId="5" borderId="19" xfId="0" applyFont="1" applyFill="1" applyBorder="1" applyAlignment="1" applyProtection="1">
      <alignment horizontal="center" wrapText="1" readingOrder="1"/>
      <protection hidden="1"/>
    </xf>
    <xf numFmtId="0" fontId="61" fillId="5" borderId="13" xfId="0" applyFont="1" applyFill="1" applyBorder="1" applyAlignment="1" applyProtection="1">
      <alignment horizontal="center" wrapText="1" readingOrder="1"/>
      <protection hidden="1"/>
    </xf>
    <xf numFmtId="0" fontId="61" fillId="5" borderId="14" xfId="0" applyFont="1" applyFill="1" applyBorder="1" applyAlignment="1" applyProtection="1">
      <alignment horizontal="center" wrapText="1" readingOrder="1"/>
      <protection hidden="1"/>
    </xf>
    <xf numFmtId="0" fontId="61" fillId="5" borderId="0" xfId="0" applyFont="1" applyFill="1" applyBorder="1" applyAlignment="1" applyProtection="1">
      <alignment horizontal="center" wrapText="1" readingOrder="1"/>
      <protection hidden="1"/>
    </xf>
    <xf numFmtId="0" fontId="61" fillId="5" borderId="15" xfId="0" applyFont="1" applyFill="1" applyBorder="1" applyAlignment="1" applyProtection="1">
      <alignment horizontal="center" wrapText="1" readingOrder="1"/>
      <protection hidden="1"/>
    </xf>
    <xf numFmtId="0" fontId="61" fillId="19" borderId="0" xfId="0" applyFont="1" applyFill="1" applyBorder="1" applyAlignment="1" applyProtection="1">
      <alignment horizontal="center" vertical="center" wrapText="1" readingOrder="1"/>
      <protection hidden="1"/>
    </xf>
    <xf numFmtId="0" fontId="61" fillId="5" borderId="16" xfId="0" applyFont="1" applyFill="1" applyBorder="1" applyAlignment="1" applyProtection="1">
      <alignment horizontal="center" wrapText="1" readingOrder="1"/>
      <protection hidden="1"/>
    </xf>
    <xf numFmtId="0" fontId="61" fillId="5" borderId="18" xfId="0" applyFont="1" applyFill="1" applyBorder="1" applyAlignment="1" applyProtection="1">
      <alignment horizontal="center" wrapText="1" readingOrder="1"/>
      <protection hidden="1"/>
    </xf>
    <xf numFmtId="0" fontId="61" fillId="5" borderId="17" xfId="0" applyFont="1" applyFill="1" applyBorder="1" applyAlignment="1" applyProtection="1">
      <alignment horizontal="center" wrapText="1" readingOrder="1"/>
      <protection hidden="1"/>
    </xf>
    <xf numFmtId="0" fontId="61" fillId="5" borderId="18" xfId="0" applyFont="1" applyFill="1" applyBorder="1" applyAlignment="1" applyProtection="1">
      <alignment horizontal="center" vertical="center" wrapText="1" readingOrder="1"/>
      <protection hidden="1"/>
    </xf>
    <xf numFmtId="0" fontId="19" fillId="12" borderId="0" xfId="0" applyFont="1" applyFill="1" applyBorder="1" applyAlignment="1" applyProtection="1">
      <alignment wrapText="1" readingOrder="1"/>
      <protection hidden="1"/>
    </xf>
    <xf numFmtId="0" fontId="19" fillId="12" borderId="15" xfId="0" applyFont="1" applyFill="1" applyBorder="1" applyAlignment="1" applyProtection="1">
      <alignment wrapText="1" readingOrder="1"/>
      <protection hidden="1"/>
    </xf>
    <xf numFmtId="0" fontId="19" fillId="12" borderId="18" xfId="0" applyFont="1" applyFill="1" applyBorder="1" applyAlignment="1" applyProtection="1">
      <alignment wrapText="1" readingOrder="1"/>
      <protection hidden="1"/>
    </xf>
    <xf numFmtId="0" fontId="19" fillId="12" borderId="17" xfId="0" applyFont="1" applyFill="1" applyBorder="1" applyAlignment="1" applyProtection="1">
      <alignment wrapText="1" readingOrder="1"/>
      <protection hidden="1"/>
    </xf>
    <xf numFmtId="0" fontId="19" fillId="12" borderId="19" xfId="0" applyFont="1" applyFill="1" applyBorder="1" applyAlignment="1" applyProtection="1">
      <alignment wrapText="1" readingOrder="1"/>
      <protection hidden="1"/>
    </xf>
    <xf numFmtId="0" fontId="19" fillId="12" borderId="13" xfId="0" applyFont="1" applyFill="1" applyBorder="1" applyAlignment="1" applyProtection="1">
      <alignment wrapText="1" readingOrder="1"/>
      <protection hidden="1"/>
    </xf>
    <xf numFmtId="0" fontId="15" fillId="0" borderId="2" xfId="0" applyFont="1" applyBorder="1" applyAlignment="1" applyProtection="1">
      <alignment horizontal="center" vertical="center" wrapText="1"/>
      <protection locked="0"/>
    </xf>
    <xf numFmtId="0" fontId="50" fillId="3" borderId="62" xfId="2" applyFont="1" applyFill="1" applyBorder="1" applyAlignment="1" applyProtection="1">
      <alignment horizontal="justify" vertical="center" wrapText="1"/>
    </xf>
    <xf numFmtId="0" fontId="50" fillId="3" borderId="63" xfId="2" applyFont="1" applyFill="1" applyBorder="1" applyAlignment="1" applyProtection="1">
      <alignment horizontal="justify" vertical="center" wrapText="1"/>
    </xf>
    <xf numFmtId="0" fontId="49" fillId="3" borderId="69" xfId="0" applyFont="1" applyFill="1" applyBorder="1" applyAlignment="1" applyProtection="1">
      <alignment horizontal="left" vertical="center" wrapText="1"/>
    </xf>
    <xf numFmtId="0" fontId="49" fillId="3" borderId="70" xfId="0" applyFont="1" applyFill="1" applyBorder="1" applyAlignment="1" applyProtection="1">
      <alignment horizontal="left" vertical="center" wrapText="1"/>
    </xf>
    <xf numFmtId="0" fontId="49" fillId="3" borderId="56" xfId="3" applyFont="1" applyFill="1" applyBorder="1" applyAlignment="1" applyProtection="1">
      <alignment horizontal="left" vertical="top" wrapText="1" readingOrder="1"/>
    </xf>
    <xf numFmtId="0" fontId="49" fillId="3" borderId="57" xfId="3" applyFont="1" applyFill="1" applyBorder="1" applyAlignment="1" applyProtection="1">
      <alignment horizontal="left" vertical="top" wrapText="1" readingOrder="1"/>
    </xf>
    <xf numFmtId="0" fontId="50" fillId="3" borderId="58" xfId="2" applyFont="1" applyFill="1" applyBorder="1" applyAlignment="1" applyProtection="1">
      <alignment horizontal="justify" vertical="center" wrapText="1"/>
    </xf>
    <xf numFmtId="0" fontId="50" fillId="3" borderId="59" xfId="2" applyFont="1" applyFill="1" applyBorder="1" applyAlignment="1" applyProtection="1">
      <alignment horizontal="justify" vertical="center" wrapText="1"/>
    </xf>
    <xf numFmtId="0" fontId="49" fillId="3" borderId="60" xfId="0" applyFont="1" applyFill="1" applyBorder="1" applyAlignment="1" applyProtection="1">
      <alignment horizontal="left" vertical="center" wrapText="1"/>
    </xf>
    <xf numFmtId="0" fontId="49" fillId="3" borderId="61" xfId="0" applyFont="1" applyFill="1" applyBorder="1" applyAlignment="1" applyProtection="1">
      <alignment horizontal="left" vertical="center" wrapText="1"/>
    </xf>
    <xf numFmtId="0" fontId="44" fillId="3" borderId="14" xfId="2" applyFont="1" applyFill="1" applyBorder="1" applyAlignment="1" applyProtection="1">
      <alignment horizontal="left" vertical="top" wrapText="1"/>
    </xf>
    <xf numFmtId="0" fontId="44" fillId="3" borderId="0" xfId="2" applyFont="1" applyFill="1" applyBorder="1" applyAlignment="1" applyProtection="1">
      <alignment horizontal="left" vertical="top" wrapText="1"/>
    </xf>
    <xf numFmtId="0" fontId="44" fillId="3" borderId="15" xfId="2" applyFont="1" applyFill="1" applyBorder="1" applyAlignment="1" applyProtection="1">
      <alignment horizontal="left" vertical="top" wrapText="1"/>
    </xf>
    <xf numFmtId="0" fontId="49" fillId="3" borderId="71" xfId="0" applyFont="1" applyFill="1" applyBorder="1" applyAlignment="1" applyProtection="1">
      <alignment horizontal="left" vertical="center" wrapText="1"/>
    </xf>
    <xf numFmtId="0" fontId="49" fillId="3" borderId="72" xfId="0" applyFont="1" applyFill="1" applyBorder="1" applyAlignment="1" applyProtection="1">
      <alignment horizontal="left" vertical="center" wrapText="1"/>
    </xf>
    <xf numFmtId="0" fontId="50" fillId="3" borderId="64" xfId="0" applyFont="1" applyFill="1" applyBorder="1" applyAlignment="1" applyProtection="1">
      <alignment horizontal="justify" vertical="center" wrapText="1"/>
    </xf>
    <xf numFmtId="0" fontId="50" fillId="3" borderId="65" xfId="0" applyFont="1" applyFill="1" applyBorder="1" applyAlignment="1" applyProtection="1">
      <alignment horizontal="justify" vertical="center" wrapText="1"/>
    </xf>
    <xf numFmtId="0" fontId="45" fillId="14" borderId="46" xfId="2" applyFont="1" applyFill="1" applyBorder="1" applyAlignment="1" applyProtection="1">
      <alignment horizontal="center" vertical="center" wrapText="1"/>
    </xf>
    <xf numFmtId="0" fontId="45" fillId="14" borderId="47" xfId="2" applyFont="1" applyFill="1" applyBorder="1" applyAlignment="1" applyProtection="1">
      <alignment horizontal="center" vertical="center" wrapText="1"/>
    </xf>
    <xf numFmtId="0" fontId="45" fillId="14" borderId="48" xfId="2" applyFont="1" applyFill="1" applyBorder="1" applyAlignment="1" applyProtection="1">
      <alignment horizontal="center" vertical="center" wrapText="1"/>
    </xf>
    <xf numFmtId="0" fontId="44" fillId="0" borderId="14" xfId="2" quotePrefix="1" applyFont="1" applyBorder="1" applyAlignment="1" applyProtection="1">
      <alignment horizontal="left" vertical="center" wrapText="1"/>
    </xf>
    <xf numFmtId="0" fontId="44" fillId="0" borderId="0" xfId="2" quotePrefix="1" applyFont="1" applyBorder="1" applyAlignment="1" applyProtection="1">
      <alignment horizontal="left" vertical="center" wrapText="1"/>
    </xf>
    <xf numFmtId="0" fontId="44" fillId="0" borderId="15" xfId="2" quotePrefix="1" applyFont="1" applyBorder="1" applyAlignment="1" applyProtection="1">
      <alignment horizontal="left" vertical="center" wrapText="1"/>
    </xf>
    <xf numFmtId="0" fontId="44" fillId="0" borderId="66" xfId="2" quotePrefix="1" applyFont="1" applyBorder="1" applyAlignment="1" applyProtection="1">
      <alignment horizontal="left" vertical="center" wrapText="1"/>
    </xf>
    <xf numFmtId="0" fontId="44" fillId="0" borderId="67" xfId="2" quotePrefix="1" applyFont="1" applyBorder="1" applyAlignment="1" applyProtection="1">
      <alignment horizontal="left" vertical="center" wrapText="1"/>
    </xf>
    <xf numFmtId="0" fontId="44" fillId="0" borderId="68" xfId="2" quotePrefix="1" applyFont="1" applyBorder="1" applyAlignment="1" applyProtection="1">
      <alignment horizontal="left" vertical="center" wrapText="1"/>
    </xf>
    <xf numFmtId="0" fontId="46" fillId="3" borderId="49" xfId="2" quotePrefix="1" applyFont="1" applyFill="1" applyBorder="1" applyAlignment="1" applyProtection="1">
      <alignment horizontal="left" vertical="top" wrapText="1"/>
    </xf>
    <xf numFmtId="0" fontId="47" fillId="3" borderId="50" xfId="2" quotePrefix="1" applyFont="1" applyFill="1" applyBorder="1" applyAlignment="1" applyProtection="1">
      <alignment horizontal="left" vertical="top" wrapText="1"/>
    </xf>
    <xf numFmtId="0" fontId="47" fillId="3" borderId="51" xfId="2" quotePrefix="1" applyFont="1" applyFill="1" applyBorder="1" applyAlignment="1" applyProtection="1">
      <alignment horizontal="left" vertical="top" wrapText="1"/>
    </xf>
    <xf numFmtId="0" fontId="44" fillId="0" borderId="14" xfId="2" quotePrefix="1" applyFont="1" applyBorder="1" applyAlignment="1" applyProtection="1">
      <alignment horizontal="left" vertical="top" wrapText="1"/>
    </xf>
    <xf numFmtId="0" fontId="44" fillId="0" borderId="0" xfId="2" quotePrefix="1" applyFont="1" applyBorder="1" applyAlignment="1" applyProtection="1">
      <alignment horizontal="left" vertical="top" wrapText="1"/>
    </xf>
    <xf numFmtId="0" fontId="44" fillId="0" borderId="15" xfId="2" quotePrefix="1" applyFont="1" applyBorder="1" applyAlignment="1" applyProtection="1">
      <alignment horizontal="left" vertical="top" wrapText="1"/>
    </xf>
    <xf numFmtId="0" fontId="49" fillId="14" borderId="52" xfId="3" applyFont="1" applyFill="1" applyBorder="1" applyAlignment="1" applyProtection="1">
      <alignment horizontal="center" vertical="center" wrapText="1"/>
    </xf>
    <xf numFmtId="0" fontId="49" fillId="14" borderId="53" xfId="3" applyFont="1" applyFill="1" applyBorder="1" applyAlignment="1" applyProtection="1">
      <alignment horizontal="center" vertical="center" wrapText="1"/>
    </xf>
    <xf numFmtId="0" fontId="49" fillId="14" borderId="54" xfId="2" applyFont="1" applyFill="1" applyBorder="1" applyAlignment="1" applyProtection="1">
      <alignment horizontal="center" vertical="center"/>
    </xf>
    <xf numFmtId="0" fontId="49" fillId="14" borderId="55" xfId="2" applyFont="1" applyFill="1" applyBorder="1" applyAlignment="1" applyProtection="1">
      <alignment horizontal="center" vertical="center"/>
    </xf>
    <xf numFmtId="0" fontId="2" fillId="3" borderId="66" xfId="2" quotePrefix="1" applyFont="1" applyFill="1" applyBorder="1" applyAlignment="1" applyProtection="1">
      <alignment horizontal="justify" vertical="center" wrapText="1"/>
    </xf>
    <xf numFmtId="0" fontId="2" fillId="3" borderId="67" xfId="2" quotePrefix="1" applyFont="1" applyFill="1" applyBorder="1" applyAlignment="1" applyProtection="1">
      <alignment horizontal="justify" vertical="center" wrapText="1"/>
    </xf>
    <xf numFmtId="0" fontId="2" fillId="3" borderId="68" xfId="2" quotePrefix="1" applyFont="1" applyFill="1" applyBorder="1" applyAlignment="1" applyProtection="1">
      <alignment horizontal="justify" vertical="center" wrapText="1"/>
    </xf>
    <xf numFmtId="0" fontId="0" fillId="0" borderId="4" xfId="0" applyFont="1" applyBorder="1" applyAlignment="1" applyProtection="1">
      <alignment horizontal="center" vertical="center" textRotation="90"/>
      <protection locked="0"/>
    </xf>
    <xf numFmtId="0" fontId="0" fillId="0" borderId="5" xfId="0" applyFont="1" applyBorder="1" applyAlignment="1" applyProtection="1">
      <alignment horizontal="center" vertical="center" textRotation="90"/>
      <protection locked="0"/>
    </xf>
    <xf numFmtId="9" fontId="0" fillId="0" borderId="4" xfId="0" applyNumberFormat="1" applyFont="1" applyBorder="1" applyAlignment="1" applyProtection="1">
      <alignment horizontal="center" vertical="center"/>
      <protection hidden="1"/>
    </xf>
    <xf numFmtId="9" fontId="0" fillId="0" borderId="5" xfId="0" applyNumberFormat="1" applyFont="1" applyBorder="1" applyAlignment="1" applyProtection="1">
      <alignment horizontal="center" vertical="center"/>
      <protection hidden="1"/>
    </xf>
    <xf numFmtId="0" fontId="0" fillId="0" borderId="4"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54" fillId="0" borderId="4" xfId="0" applyFont="1" applyFill="1" applyBorder="1" applyAlignment="1" applyProtection="1">
      <alignment horizontal="center" vertical="center" textRotation="90" wrapText="1"/>
      <protection hidden="1"/>
    </xf>
    <xf numFmtId="0" fontId="54" fillId="0" borderId="5" xfId="0" applyFont="1" applyFill="1" applyBorder="1" applyAlignment="1" applyProtection="1">
      <alignment horizontal="center" vertical="center" textRotation="90" wrapText="1"/>
      <protection hidden="1"/>
    </xf>
    <xf numFmtId="0" fontId="54" fillId="0" borderId="4" xfId="0" applyFont="1" applyBorder="1" applyAlignment="1" applyProtection="1">
      <alignment horizontal="center" vertical="center" textRotation="90"/>
      <protection hidden="1"/>
    </xf>
    <xf numFmtId="0" fontId="54" fillId="0" borderId="5" xfId="0" applyFont="1" applyBorder="1" applyAlignment="1" applyProtection="1">
      <alignment horizontal="center" vertical="center" textRotation="90"/>
      <protection hidden="1"/>
    </xf>
    <xf numFmtId="0" fontId="0" fillId="0" borderId="73" xfId="0" applyFont="1" applyBorder="1" applyAlignment="1" applyProtection="1">
      <alignment horizontal="center" vertical="center" textRotation="90"/>
      <protection locked="0"/>
    </xf>
    <xf numFmtId="0" fontId="0" fillId="0" borderId="75" xfId="0" applyFont="1" applyBorder="1" applyAlignment="1" applyProtection="1">
      <alignment horizontal="center" vertical="center" textRotation="90"/>
      <protection locked="0"/>
    </xf>
    <xf numFmtId="9" fontId="0" fillId="0" borderId="29" xfId="0" applyNumberFormat="1" applyFont="1" applyBorder="1" applyAlignment="1" applyProtection="1">
      <alignment horizontal="center" vertical="center"/>
      <protection hidden="1"/>
    </xf>
    <xf numFmtId="9" fontId="0" fillId="0" borderId="0" xfId="0" applyNumberFormat="1" applyFont="1" applyBorder="1" applyAlignment="1" applyProtection="1">
      <alignment horizontal="center" vertical="center"/>
      <protection hidden="1"/>
    </xf>
    <xf numFmtId="9" fontId="0" fillId="0" borderId="30" xfId="0" applyNumberFormat="1" applyFont="1" applyBorder="1" applyAlignment="1" applyProtection="1">
      <alignment horizontal="center" vertical="center"/>
      <protection hidden="1"/>
    </xf>
    <xf numFmtId="0" fontId="54" fillId="0" borderId="8" xfId="0" applyFont="1" applyFill="1" applyBorder="1" applyAlignment="1" applyProtection="1">
      <alignment horizontal="center" vertical="center" textRotation="90" wrapText="1"/>
      <protection hidden="1"/>
    </xf>
    <xf numFmtId="0" fontId="54" fillId="0" borderId="8" xfId="0" applyFont="1" applyBorder="1" applyAlignment="1" applyProtection="1">
      <alignment horizontal="center" vertical="center" textRotation="90"/>
      <protection hidden="1"/>
    </xf>
    <xf numFmtId="0" fontId="0" fillId="0" borderId="73" xfId="0" applyFont="1" applyFill="1" applyBorder="1" applyAlignment="1" applyProtection="1">
      <alignment horizontal="center" vertical="center" textRotation="90"/>
      <protection locked="0"/>
    </xf>
    <xf numFmtId="0" fontId="0" fillId="0" borderId="74" xfId="0" applyFont="1" applyFill="1" applyBorder="1" applyAlignment="1" applyProtection="1">
      <alignment horizontal="center" vertical="center" textRotation="90"/>
      <protection locked="0"/>
    </xf>
    <xf numFmtId="0" fontId="0" fillId="0" borderId="75" xfId="0" applyFont="1" applyFill="1" applyBorder="1" applyAlignment="1" applyProtection="1">
      <alignment horizontal="center" vertical="center" textRotation="90"/>
      <protection locked="0"/>
    </xf>
    <xf numFmtId="9" fontId="0" fillId="0" borderId="8" xfId="0" applyNumberFormat="1" applyFont="1" applyBorder="1" applyAlignment="1" applyProtection="1">
      <alignment horizontal="center" vertical="center"/>
      <protection hidden="1"/>
    </xf>
    <xf numFmtId="0" fontId="0" fillId="0" borderId="8" xfId="0" applyFont="1" applyBorder="1" applyAlignment="1" applyProtection="1">
      <alignment horizontal="center" vertical="center" textRotation="90"/>
      <protection locked="0"/>
    </xf>
    <xf numFmtId="9" fontId="0" fillId="0" borderId="4" xfId="1" applyNumberFormat="1" applyFont="1" applyBorder="1" applyAlignment="1">
      <alignment horizontal="center" vertical="center"/>
    </xf>
    <xf numFmtId="9" fontId="0" fillId="0" borderId="8" xfId="1" applyNumberFormat="1" applyFont="1" applyBorder="1" applyAlignment="1">
      <alignment horizontal="center" vertical="center"/>
    </xf>
    <xf numFmtId="9" fontId="0" fillId="0" borderId="5" xfId="1" applyNumberFormat="1" applyFont="1" applyBorder="1" applyAlignment="1">
      <alignment horizontal="center" vertical="center"/>
    </xf>
    <xf numFmtId="0" fontId="0" fillId="0" borderId="4" xfId="0" applyFont="1" applyBorder="1" applyAlignment="1" applyProtection="1">
      <alignment horizontal="center" vertical="center"/>
      <protection hidden="1"/>
    </xf>
    <xf numFmtId="0" fontId="0" fillId="0" borderId="8" xfId="0" applyFont="1" applyBorder="1" applyAlignment="1" applyProtection="1">
      <alignment horizontal="center" vertical="center"/>
      <protection hidden="1"/>
    </xf>
    <xf numFmtId="0" fontId="0" fillId="0" borderId="5" xfId="0" applyFont="1" applyBorder="1" applyAlignment="1" applyProtection="1">
      <alignment horizontal="center" vertical="center"/>
      <protection hidden="1"/>
    </xf>
    <xf numFmtId="0" fontId="0" fillId="0" borderId="28" xfId="0" applyFont="1" applyBorder="1" applyAlignment="1" applyProtection="1">
      <alignment horizontal="center" vertical="center" textRotation="90"/>
      <protection locked="0"/>
    </xf>
    <xf numFmtId="0" fontId="0" fillId="0" borderId="9" xfId="0" applyFont="1" applyBorder="1" applyAlignment="1" applyProtection="1">
      <alignment horizontal="center" vertical="center" textRotation="90"/>
      <protection locked="0"/>
    </xf>
    <xf numFmtId="0" fontId="0" fillId="0" borderId="3" xfId="0" applyFont="1" applyBorder="1" applyAlignment="1" applyProtection="1">
      <alignment horizontal="center" vertical="center" textRotation="90"/>
      <protection locked="0"/>
    </xf>
    <xf numFmtId="0" fontId="0" fillId="0" borderId="29" xfId="0" applyFont="1" applyBorder="1" applyAlignment="1" applyProtection="1">
      <alignment horizontal="center" vertical="center" textRotation="90"/>
      <protection locked="0"/>
    </xf>
    <xf numFmtId="0" fontId="0" fillId="0" borderId="0" xfId="0" applyFont="1" applyBorder="1" applyAlignment="1" applyProtection="1">
      <alignment horizontal="center" vertical="center" textRotation="90"/>
      <protection locked="0"/>
    </xf>
    <xf numFmtId="0" fontId="0" fillId="0" borderId="30" xfId="0" applyFont="1" applyBorder="1" applyAlignment="1" applyProtection="1">
      <alignment horizontal="center" vertical="center" textRotation="90"/>
      <protection locked="0"/>
    </xf>
    <xf numFmtId="0" fontId="0" fillId="0" borderId="4"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8"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wrapText="1"/>
      <protection hidden="1"/>
    </xf>
    <xf numFmtId="0" fontId="54" fillId="0" borderId="8" xfId="0" applyFont="1" applyFill="1" applyBorder="1" applyAlignment="1" applyProtection="1">
      <alignment horizontal="center" vertical="center" wrapText="1"/>
      <protection hidden="1"/>
    </xf>
    <xf numFmtId="0" fontId="54" fillId="0" borderId="5" xfId="0" applyFont="1" applyFill="1" applyBorder="1" applyAlignment="1" applyProtection="1">
      <alignment horizontal="center" vertical="center" wrapText="1"/>
      <protection hidden="1"/>
    </xf>
    <xf numFmtId="9" fontId="0" fillId="0" borderId="4" xfId="0" applyNumberFormat="1" applyFont="1" applyBorder="1" applyAlignment="1" applyProtection="1">
      <alignment horizontal="center" vertical="center" wrapText="1"/>
      <protection hidden="1"/>
    </xf>
    <xf numFmtId="9" fontId="0" fillId="0" borderId="8" xfId="0" applyNumberFormat="1" applyFont="1" applyBorder="1" applyAlignment="1" applyProtection="1">
      <alignment horizontal="center" vertical="center" wrapText="1"/>
      <protection hidden="1"/>
    </xf>
    <xf numFmtId="9" fontId="0" fillId="0" borderId="5" xfId="0" applyNumberFormat="1" applyFont="1" applyBorder="1" applyAlignment="1" applyProtection="1">
      <alignment horizontal="center" vertical="center" wrapText="1"/>
      <protection hidden="1"/>
    </xf>
    <xf numFmtId="9" fontId="0" fillId="0" borderId="4" xfId="0" applyNumberFormat="1" applyFont="1" applyBorder="1" applyAlignment="1" applyProtection="1">
      <alignment horizontal="center" vertical="center" wrapText="1"/>
      <protection locked="0"/>
    </xf>
    <xf numFmtId="9" fontId="0" fillId="0" borderId="8" xfId="0" applyNumberFormat="1" applyFont="1" applyBorder="1" applyAlignment="1" applyProtection="1">
      <alignment horizontal="center" vertical="center" wrapText="1"/>
      <protection locked="0"/>
    </xf>
    <xf numFmtId="9" fontId="0" fillId="0" borderId="5" xfId="0" applyNumberFormat="1" applyFont="1" applyBorder="1" applyAlignment="1" applyProtection="1">
      <alignment horizontal="center" vertical="center" wrapText="1"/>
      <protection locked="0"/>
    </xf>
    <xf numFmtId="0" fontId="0" fillId="0" borderId="73"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4" xfId="0" applyFont="1" applyBorder="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4"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4" xfId="0" applyFont="1" applyBorder="1" applyAlignment="1" applyProtection="1">
      <alignment vertical="center" wrapText="1"/>
      <protection locked="0"/>
    </xf>
    <xf numFmtId="0" fontId="0" fillId="0" borderId="8"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54" fillId="0" borderId="4" xfId="0" applyFont="1" applyBorder="1" applyAlignment="1" applyProtection="1">
      <alignment horizontal="center" vertical="center"/>
      <protection hidden="1"/>
    </xf>
    <xf numFmtId="0" fontId="54" fillId="0" borderId="5" xfId="0" applyFont="1" applyBorder="1" applyAlignment="1" applyProtection="1">
      <alignment horizontal="center" vertical="center"/>
      <protection hidden="1"/>
    </xf>
    <xf numFmtId="0" fontId="0" fillId="0" borderId="4"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28"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2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54" fillId="0" borderId="8" xfId="0" applyFont="1" applyBorder="1" applyAlignment="1" applyProtection="1">
      <alignment horizontal="center" vertical="center"/>
      <protection hidden="1"/>
    </xf>
    <xf numFmtId="0" fontId="0" fillId="0" borderId="2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Font="1" applyBorder="1" applyAlignment="1">
      <alignment horizontal="center" vertical="center" wrapText="1"/>
    </xf>
    <xf numFmtId="0" fontId="7" fillId="3" borderId="0"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53" fillId="18" borderId="6" xfId="0" applyFont="1" applyFill="1" applyBorder="1" applyAlignment="1">
      <alignment horizontal="center" vertical="center"/>
    </xf>
    <xf numFmtId="0" fontId="53" fillId="18" borderId="10" xfId="0" applyFont="1" applyFill="1" applyBorder="1" applyAlignment="1">
      <alignment horizontal="center" vertical="center"/>
    </xf>
    <xf numFmtId="0" fontId="53" fillId="18" borderId="7" xfId="0" applyFont="1" applyFill="1" applyBorder="1" applyAlignment="1">
      <alignment horizontal="center" vertical="center"/>
    </xf>
    <xf numFmtId="0" fontId="53" fillId="17" borderId="6" xfId="0" applyFont="1" applyFill="1" applyBorder="1" applyAlignment="1">
      <alignment horizontal="center" vertical="center"/>
    </xf>
    <xf numFmtId="0" fontId="53" fillId="17" borderId="10" xfId="0" applyFont="1" applyFill="1" applyBorder="1" applyAlignment="1">
      <alignment horizontal="center" vertical="center"/>
    </xf>
    <xf numFmtId="0" fontId="53" fillId="17" borderId="7" xfId="0" applyFont="1" applyFill="1" applyBorder="1" applyAlignment="1">
      <alignment horizontal="center" vertical="center"/>
    </xf>
    <xf numFmtId="0" fontId="53" fillId="18" borderId="4" xfId="0" applyFont="1" applyFill="1" applyBorder="1" applyAlignment="1">
      <alignment horizontal="center" vertical="center" textRotation="90"/>
    </xf>
    <xf numFmtId="0" fontId="53" fillId="18" borderId="5" xfId="0" applyFont="1" applyFill="1" applyBorder="1" applyAlignment="1">
      <alignment horizontal="center" vertical="center" textRotation="90"/>
    </xf>
    <xf numFmtId="0" fontId="53" fillId="18" borderId="4" xfId="0" applyFont="1" applyFill="1" applyBorder="1" applyAlignment="1">
      <alignment horizontal="center" vertical="center" wrapText="1"/>
    </xf>
    <xf numFmtId="0" fontId="53" fillId="18" borderId="5" xfId="0" applyFont="1" applyFill="1" applyBorder="1" applyAlignment="1">
      <alignment horizontal="center" vertical="center" wrapText="1"/>
    </xf>
    <xf numFmtId="0" fontId="53" fillId="18" borderId="5" xfId="0" applyFont="1" applyFill="1" applyBorder="1" applyAlignment="1">
      <alignment horizontal="center" vertical="center"/>
    </xf>
    <xf numFmtId="0" fontId="53" fillId="18" borderId="2" xfId="0" applyFont="1" applyFill="1" applyBorder="1" applyAlignment="1">
      <alignment horizontal="center" vertical="center"/>
    </xf>
    <xf numFmtId="0" fontId="53" fillId="18" borderId="2" xfId="0" applyFont="1" applyFill="1" applyBorder="1" applyAlignment="1">
      <alignment horizontal="center" vertical="center" wrapText="1"/>
    </xf>
    <xf numFmtId="0" fontId="53" fillId="17" borderId="4" xfId="0" applyFont="1" applyFill="1" applyBorder="1" applyAlignment="1">
      <alignment horizontal="center" vertical="center" textRotation="90" wrapText="1"/>
    </xf>
    <xf numFmtId="0" fontId="53" fillId="17" borderId="5" xfId="0" applyFont="1" applyFill="1" applyBorder="1" applyAlignment="1">
      <alignment horizontal="center" vertical="center" textRotation="90" wrapText="1"/>
    </xf>
    <xf numFmtId="0" fontId="53" fillId="18" borderId="4" xfId="0" applyFont="1" applyFill="1" applyBorder="1" applyAlignment="1">
      <alignment horizontal="center" vertical="center" textRotation="90" wrapText="1"/>
    </xf>
    <xf numFmtId="0" fontId="53" fillId="18" borderId="5" xfId="0" applyFont="1" applyFill="1" applyBorder="1" applyAlignment="1">
      <alignment horizontal="center" vertical="center" textRotation="90" wrapText="1"/>
    </xf>
    <xf numFmtId="0" fontId="53" fillId="17" borderId="2" xfId="0" applyFont="1" applyFill="1" applyBorder="1" applyAlignment="1">
      <alignment horizontal="center" vertical="center" textRotation="90" wrapText="1"/>
    </xf>
    <xf numFmtId="9" fontId="53" fillId="17" borderId="2" xfId="0" applyNumberFormat="1" applyFont="1" applyFill="1" applyBorder="1" applyAlignment="1">
      <alignment horizontal="center" vertical="center" textRotation="90" wrapText="1"/>
    </xf>
    <xf numFmtId="0" fontId="53" fillId="17" borderId="9" xfId="0" applyFont="1" applyFill="1" applyBorder="1" applyAlignment="1">
      <alignment horizontal="center" vertical="center"/>
    </xf>
    <xf numFmtId="0" fontId="53" fillId="17" borderId="3" xfId="0" applyFont="1" applyFill="1" applyBorder="1" applyAlignment="1">
      <alignment horizontal="center" vertical="center"/>
    </xf>
    <xf numFmtId="0" fontId="53" fillId="17" borderId="9" xfId="0" applyFont="1" applyFill="1" applyBorder="1" applyAlignment="1">
      <alignment horizontal="center" vertical="center" wrapText="1"/>
    </xf>
    <xf numFmtId="0" fontId="53" fillId="17" borderId="5" xfId="0" applyFont="1" applyFill="1" applyBorder="1" applyAlignment="1">
      <alignment horizontal="center" vertical="center" wrapText="1"/>
    </xf>
    <xf numFmtId="0" fontId="53" fillId="17" borderId="2" xfId="0" applyFont="1" applyFill="1" applyBorder="1" applyAlignment="1">
      <alignment horizontal="center" vertical="center" wrapText="1"/>
    </xf>
    <xf numFmtId="0" fontId="0" fillId="0" borderId="5" xfId="0" applyFont="1" applyBorder="1" applyAlignment="1" applyProtection="1">
      <alignment horizontal="center" vertical="center"/>
      <protection locked="0"/>
    </xf>
    <xf numFmtId="0" fontId="56" fillId="16" borderId="9" xfId="0" applyFont="1" applyFill="1" applyBorder="1" applyAlignment="1">
      <alignment horizontal="center" vertical="center"/>
    </xf>
    <xf numFmtId="0" fontId="56" fillId="16" borderId="0" xfId="0" applyFont="1" applyFill="1" applyBorder="1" applyAlignment="1">
      <alignment horizontal="center" vertical="center"/>
    </xf>
    <xf numFmtId="0" fontId="53" fillId="17" borderId="8" xfId="0" applyFont="1" applyFill="1" applyBorder="1" applyAlignment="1">
      <alignment horizontal="center" vertical="center" wrapText="1"/>
    </xf>
    <xf numFmtId="0" fontId="53" fillId="18" borderId="6" xfId="0" applyFont="1" applyFill="1" applyBorder="1" applyAlignment="1">
      <alignment horizontal="center" vertical="center" wrapText="1"/>
    </xf>
    <xf numFmtId="0" fontId="53" fillId="18" borderId="10" xfId="0" applyFont="1" applyFill="1" applyBorder="1" applyAlignment="1">
      <alignment horizontal="center" vertical="center" wrapText="1"/>
    </xf>
    <xf numFmtId="0" fontId="53" fillId="18" borderId="7" xfId="0" applyFont="1" applyFill="1" applyBorder="1" applyAlignment="1">
      <alignment horizontal="center" vertical="center" wrapText="1"/>
    </xf>
    <xf numFmtId="0" fontId="53" fillId="17" borderId="4" xfId="0" applyFont="1" applyFill="1" applyBorder="1" applyAlignment="1">
      <alignment horizontal="center" vertical="center" wrapText="1"/>
    </xf>
    <xf numFmtId="0" fontId="0" fillId="0" borderId="0" xfId="0" applyFont="1" applyBorder="1" applyAlignment="1" applyProtection="1">
      <alignment horizontal="center" vertical="center" wrapText="1"/>
      <protection locked="0"/>
    </xf>
    <xf numFmtId="0" fontId="0" fillId="0" borderId="29"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29" xfId="0" applyFont="1" applyBorder="1" applyAlignment="1">
      <alignment horizontal="center" vertical="center"/>
    </xf>
    <xf numFmtId="0" fontId="0" fillId="0" borderId="0" xfId="0" applyFont="1" applyBorder="1" applyAlignment="1">
      <alignment horizontal="center" vertical="center"/>
    </xf>
    <xf numFmtId="9" fontId="0" fillId="0" borderId="29" xfId="1" applyNumberFormat="1" applyFont="1" applyBorder="1" applyAlignment="1">
      <alignment horizontal="center" vertical="center"/>
    </xf>
    <xf numFmtId="9" fontId="0" fillId="0" borderId="30" xfId="1" applyNumberFormat="1" applyFont="1" applyBorder="1" applyAlignment="1">
      <alignment horizontal="center" vertical="center"/>
    </xf>
    <xf numFmtId="0" fontId="54" fillId="0" borderId="29" xfId="0" applyFont="1" applyBorder="1" applyAlignment="1" applyProtection="1">
      <alignment horizontal="center" vertical="center" textRotation="90"/>
      <protection hidden="1"/>
    </xf>
    <xf numFmtId="0" fontId="54" fillId="0" borderId="0" xfId="0" applyFont="1" applyBorder="1" applyAlignment="1" applyProtection="1">
      <alignment horizontal="center" vertical="center" textRotation="90"/>
      <protection hidden="1"/>
    </xf>
    <xf numFmtId="0" fontId="54" fillId="0" borderId="30" xfId="0" applyFont="1" applyBorder="1" applyAlignment="1" applyProtection="1">
      <alignment horizontal="center" vertical="center" textRotation="90"/>
      <protection hidden="1"/>
    </xf>
    <xf numFmtId="0" fontId="0" fillId="0" borderId="4" xfId="0" applyFont="1" applyFill="1" applyBorder="1" applyAlignment="1" applyProtection="1">
      <alignment horizontal="center" vertical="center" textRotation="90"/>
      <protection locked="0"/>
    </xf>
    <xf numFmtId="0" fontId="0" fillId="0" borderId="5" xfId="0" applyFont="1" applyFill="1" applyBorder="1" applyAlignment="1" applyProtection="1">
      <alignment horizontal="center" vertical="center" textRotation="90"/>
      <protection locked="0"/>
    </xf>
    <xf numFmtId="0" fontId="0" fillId="0" borderId="8" xfId="0" applyFont="1" applyFill="1" applyBorder="1" applyAlignment="1" applyProtection="1">
      <alignment horizontal="center" vertical="center" textRotation="90"/>
      <protection locked="0"/>
    </xf>
    <xf numFmtId="9" fontId="0" fillId="0" borderId="4" xfId="1" applyNumberFormat="1" applyFont="1" applyBorder="1" applyAlignment="1" applyProtection="1">
      <alignment horizontal="center" vertical="center"/>
      <protection hidden="1"/>
    </xf>
    <xf numFmtId="9" fontId="0" fillId="0" borderId="8" xfId="1" applyNumberFormat="1" applyFont="1" applyBorder="1" applyAlignment="1" applyProtection="1">
      <alignment horizontal="center" vertical="center"/>
      <protection hidden="1"/>
    </xf>
    <xf numFmtId="9" fontId="0" fillId="0" borderId="5" xfId="1" applyNumberFormat="1" applyFont="1" applyBorder="1" applyAlignment="1" applyProtection="1">
      <alignment horizontal="center" vertical="center"/>
      <protection hidden="1"/>
    </xf>
    <xf numFmtId="0" fontId="54" fillId="0" borderId="28" xfId="0" applyFont="1" applyFill="1" applyBorder="1" applyAlignment="1" applyProtection="1">
      <alignment horizontal="center" vertical="center" textRotation="90" wrapText="1"/>
      <protection hidden="1"/>
    </xf>
    <xf numFmtId="0" fontId="54" fillId="0" borderId="9" xfId="0" applyFont="1" applyFill="1" applyBorder="1" applyAlignment="1" applyProtection="1">
      <alignment horizontal="center" vertical="center" textRotation="90" wrapText="1"/>
      <protection hidden="1"/>
    </xf>
    <xf numFmtId="0" fontId="54" fillId="0" borderId="3" xfId="0" applyFont="1" applyFill="1" applyBorder="1" applyAlignment="1" applyProtection="1">
      <alignment horizontal="center" vertical="center" textRotation="90" wrapText="1"/>
      <protection hidden="1"/>
    </xf>
    <xf numFmtId="0" fontId="54" fillId="0" borderId="29" xfId="0" applyFont="1" applyFill="1" applyBorder="1" applyAlignment="1" applyProtection="1">
      <alignment horizontal="center" vertical="center" textRotation="90" wrapText="1"/>
      <protection hidden="1"/>
    </xf>
    <xf numFmtId="0" fontId="54" fillId="0" borderId="0" xfId="0" applyFont="1" applyFill="1" applyBorder="1" applyAlignment="1" applyProtection="1">
      <alignment horizontal="center" vertical="center" textRotation="90" wrapText="1"/>
      <protection hidden="1"/>
    </xf>
    <xf numFmtId="0" fontId="54" fillId="0" borderId="30" xfId="0" applyFont="1" applyFill="1" applyBorder="1" applyAlignment="1" applyProtection="1">
      <alignment horizontal="center" vertical="center" textRotation="90" wrapText="1"/>
      <protection hidden="1"/>
    </xf>
    <xf numFmtId="14" fontId="0" fillId="0" borderId="4" xfId="0" applyNumberFormat="1" applyFont="1" applyBorder="1" applyAlignment="1" applyProtection="1">
      <alignment horizontal="center" vertical="center" wrapText="1"/>
      <protection locked="0"/>
    </xf>
    <xf numFmtId="14" fontId="0" fillId="0" borderId="8" xfId="0" applyNumberFormat="1" applyFont="1" applyBorder="1" applyAlignment="1" applyProtection="1">
      <alignment horizontal="center" vertical="center" wrapText="1"/>
      <protection locked="0"/>
    </xf>
    <xf numFmtId="14" fontId="0" fillId="0" borderId="5" xfId="0" applyNumberFormat="1" applyFont="1" applyBorder="1" applyAlignment="1" applyProtection="1">
      <alignment horizontal="center" vertical="center" wrapText="1"/>
      <protection locked="0"/>
    </xf>
    <xf numFmtId="14" fontId="0" fillId="0" borderId="4" xfId="0" applyNumberFormat="1" applyFont="1" applyBorder="1" applyAlignment="1" applyProtection="1">
      <alignment horizontal="center" vertical="center"/>
      <protection locked="0"/>
    </xf>
    <xf numFmtId="14" fontId="0" fillId="0" borderId="8" xfId="0" applyNumberFormat="1" applyFont="1" applyBorder="1" applyAlignment="1" applyProtection="1">
      <alignment horizontal="center" vertical="center"/>
      <protection locked="0"/>
    </xf>
    <xf numFmtId="14" fontId="0" fillId="0" borderId="5" xfId="0" applyNumberFormat="1" applyFont="1" applyBorder="1" applyAlignment="1" applyProtection="1">
      <alignment horizontal="center" vertical="center"/>
      <protection locked="0"/>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0" xfId="0" applyFont="1" applyBorder="1" applyAlignment="1">
      <alignment horizontal="center" vertical="center"/>
    </xf>
    <xf numFmtId="0" fontId="17" fillId="0" borderId="19" xfId="0" applyFont="1" applyBorder="1" applyAlignment="1">
      <alignment horizontal="center" vertical="center" wrapText="1"/>
    </xf>
    <xf numFmtId="0" fontId="58" fillId="11" borderId="12" xfId="0" applyFont="1" applyFill="1" applyBorder="1" applyAlignment="1" applyProtection="1">
      <alignment horizontal="center" vertical="center" wrapText="1" readingOrder="1"/>
      <protection hidden="1"/>
    </xf>
    <xf numFmtId="0" fontId="58" fillId="11" borderId="19" xfId="0" applyFont="1" applyFill="1" applyBorder="1" applyAlignment="1" applyProtection="1">
      <alignment horizontal="center" vertical="center" wrapText="1" readingOrder="1"/>
      <protection hidden="1"/>
    </xf>
    <xf numFmtId="0" fontId="58" fillId="11" borderId="14" xfId="0" applyFont="1" applyFill="1" applyBorder="1" applyAlignment="1" applyProtection="1">
      <alignment horizontal="center" vertical="center" wrapText="1" readingOrder="1"/>
      <protection hidden="1"/>
    </xf>
    <xf numFmtId="0" fontId="58" fillId="11" borderId="0" xfId="0" applyFont="1" applyFill="1" applyBorder="1" applyAlignment="1" applyProtection="1">
      <alignment horizontal="center" vertical="center" wrapText="1" readingOrder="1"/>
      <protection hidden="1"/>
    </xf>
    <xf numFmtId="0" fontId="58" fillId="11" borderId="13" xfId="0" applyFont="1" applyFill="1" applyBorder="1" applyAlignment="1" applyProtection="1">
      <alignment horizontal="center" vertical="center" wrapText="1" readingOrder="1"/>
      <protection hidden="1"/>
    </xf>
    <xf numFmtId="0" fontId="58" fillId="11" borderId="15" xfId="0" applyFont="1" applyFill="1" applyBorder="1" applyAlignment="1" applyProtection="1">
      <alignment horizontal="center" vertical="center" wrapText="1" readingOrder="1"/>
      <protection hidden="1"/>
    </xf>
    <xf numFmtId="0" fontId="58" fillId="11" borderId="0" xfId="0" applyFont="1" applyFill="1" applyAlignment="1" applyProtection="1">
      <alignment horizontal="center" vertical="center" wrapText="1" readingOrder="1"/>
      <protection hidden="1"/>
    </xf>
    <xf numFmtId="0" fontId="58" fillId="11" borderId="16" xfId="0" applyFont="1" applyFill="1" applyBorder="1" applyAlignment="1" applyProtection="1">
      <alignment horizontal="center" vertical="center" wrapText="1" readingOrder="1"/>
      <protection hidden="1"/>
    </xf>
    <xf numFmtId="0" fontId="58" fillId="11" borderId="18" xfId="0" applyFont="1" applyFill="1" applyBorder="1" applyAlignment="1" applyProtection="1">
      <alignment horizontal="center" vertical="center" wrapText="1" readingOrder="1"/>
      <protection hidden="1"/>
    </xf>
    <xf numFmtId="0" fontId="58"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58" fillId="12" borderId="14" xfId="0" applyFont="1" applyFill="1" applyBorder="1" applyAlignment="1" applyProtection="1">
      <alignment horizontal="center" wrapText="1" readingOrder="1"/>
      <protection hidden="1"/>
    </xf>
    <xf numFmtId="0" fontId="58" fillId="12" borderId="0" xfId="0" applyFont="1" applyFill="1" applyBorder="1" applyAlignment="1" applyProtection="1">
      <alignment horizontal="center" wrapText="1" readingOrder="1"/>
      <protection hidden="1"/>
    </xf>
    <xf numFmtId="0" fontId="58" fillId="12" borderId="15" xfId="0" applyFont="1" applyFill="1" applyBorder="1" applyAlignment="1" applyProtection="1">
      <alignment horizontal="center" wrapText="1" readingOrder="1"/>
      <protection hidden="1"/>
    </xf>
    <xf numFmtId="0" fontId="58" fillId="12" borderId="16" xfId="0" applyFont="1" applyFill="1" applyBorder="1" applyAlignment="1" applyProtection="1">
      <alignment horizontal="center" wrapText="1" readingOrder="1"/>
      <protection hidden="1"/>
    </xf>
    <xf numFmtId="0" fontId="58" fillId="12" borderId="18" xfId="0" applyFont="1" applyFill="1" applyBorder="1" applyAlignment="1" applyProtection="1">
      <alignment horizontal="center" wrapText="1" readingOrder="1"/>
      <protection hidden="1"/>
    </xf>
    <xf numFmtId="0" fontId="58" fillId="12" borderId="17" xfId="0" applyFont="1" applyFill="1" applyBorder="1" applyAlignment="1" applyProtection="1">
      <alignment horizontal="center" wrapText="1" readingOrder="1"/>
      <protection hidden="1"/>
    </xf>
    <xf numFmtId="0" fontId="58" fillId="12" borderId="12" xfId="0" applyFont="1" applyFill="1" applyBorder="1" applyAlignment="1" applyProtection="1">
      <alignment horizontal="center" wrapText="1" readingOrder="1"/>
      <protection hidden="1"/>
    </xf>
    <xf numFmtId="0" fontId="58" fillId="12" borderId="19" xfId="0" applyFont="1" applyFill="1" applyBorder="1" applyAlignment="1" applyProtection="1">
      <alignment horizontal="center" wrapText="1" readingOrder="1"/>
      <protection hidden="1"/>
    </xf>
    <xf numFmtId="0" fontId="58"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58" fillId="13" borderId="0" xfId="0" applyFont="1" applyFill="1" applyBorder="1" applyAlignment="1" applyProtection="1">
      <alignment horizontal="center" wrapText="1" readingOrder="1"/>
      <protection hidden="1"/>
    </xf>
    <xf numFmtId="0" fontId="58"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58" fillId="13" borderId="18" xfId="0" applyFont="1" applyFill="1" applyBorder="1" applyAlignment="1" applyProtection="1">
      <alignment horizontal="center" wrapText="1" readingOrder="1"/>
      <protection hidden="1"/>
    </xf>
    <xf numFmtId="0" fontId="58"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58" fillId="13" borderId="19" xfId="0" applyFont="1" applyFill="1" applyBorder="1" applyAlignment="1" applyProtection="1">
      <alignment horizontal="center" wrapText="1" readingOrder="1"/>
      <protection hidden="1"/>
    </xf>
    <xf numFmtId="0" fontId="58" fillId="13" borderId="13" xfId="0" applyFont="1" applyFill="1" applyBorder="1" applyAlignment="1" applyProtection="1">
      <alignment horizontal="center" wrapText="1" readingOrder="1"/>
      <protection hidden="1"/>
    </xf>
    <xf numFmtId="0" fontId="58" fillId="13" borderId="14" xfId="0" applyFont="1" applyFill="1" applyBorder="1" applyAlignment="1" applyProtection="1">
      <alignment horizontal="center" wrapText="1" readingOrder="1"/>
      <protection hidden="1"/>
    </xf>
    <xf numFmtId="0" fontId="58" fillId="13" borderId="16" xfId="0" applyFont="1" applyFill="1" applyBorder="1" applyAlignment="1" applyProtection="1">
      <alignment horizontal="center" wrapText="1" readingOrder="1"/>
      <protection hidden="1"/>
    </xf>
    <xf numFmtId="0" fontId="58" fillId="13" borderId="12" xfId="0" applyFont="1" applyFill="1" applyBorder="1" applyAlignment="1" applyProtection="1">
      <alignment horizontal="center" wrapText="1" readingOrder="1"/>
      <protection hidden="1"/>
    </xf>
    <xf numFmtId="0" fontId="58" fillId="5" borderId="0" xfId="0" applyFont="1" applyFill="1" applyBorder="1" applyAlignment="1" applyProtection="1">
      <alignment horizontal="center" wrapText="1" readingOrder="1"/>
      <protection hidden="1"/>
    </xf>
    <xf numFmtId="0" fontId="58"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58" fillId="5" borderId="18" xfId="0" applyFont="1" applyFill="1" applyBorder="1" applyAlignment="1" applyProtection="1">
      <alignment horizontal="center" wrapText="1" readingOrder="1"/>
      <protection hidden="1"/>
    </xf>
    <xf numFmtId="0" fontId="58"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58" fillId="5" borderId="19" xfId="0" applyFont="1" applyFill="1" applyBorder="1" applyAlignment="1" applyProtection="1">
      <alignment horizontal="center" wrapText="1" readingOrder="1"/>
      <protection hidden="1"/>
    </xf>
    <xf numFmtId="0" fontId="58" fillId="5" borderId="13"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58" fillId="5" borderId="14" xfId="0" applyFont="1" applyFill="1" applyBorder="1" applyAlignment="1" applyProtection="1">
      <alignment horizontal="center" wrapText="1" readingOrder="1"/>
      <protection hidden="1"/>
    </xf>
    <xf numFmtId="0" fontId="58" fillId="5" borderId="16" xfId="0" applyFont="1" applyFill="1" applyBorder="1" applyAlignment="1" applyProtection="1">
      <alignment horizontal="center" wrapText="1" readingOrder="1"/>
      <protection hidden="1"/>
    </xf>
    <xf numFmtId="0" fontId="58" fillId="5" borderId="12" xfId="0" applyFont="1" applyFill="1" applyBorder="1" applyAlignment="1" applyProtection="1">
      <alignment horizontal="center" wrapText="1" readingOrder="1"/>
      <protection hidden="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59" fillId="0" borderId="12" xfId="0" applyFont="1" applyBorder="1" applyAlignment="1">
      <alignment horizontal="center" vertical="center" wrapText="1"/>
    </xf>
    <xf numFmtId="0" fontId="59" fillId="0" borderId="19" xfId="0" applyFont="1" applyBorder="1" applyAlignment="1">
      <alignment horizontal="center" vertical="center"/>
    </xf>
    <xf numFmtId="0" fontId="59" fillId="0" borderId="14" xfId="0" applyFont="1" applyBorder="1" applyAlignment="1">
      <alignment horizontal="center" vertical="center" wrapText="1"/>
    </xf>
    <xf numFmtId="0" fontId="59" fillId="0" borderId="0" xfId="0" applyFont="1" applyBorder="1" applyAlignment="1">
      <alignment horizontal="center" vertical="center"/>
    </xf>
    <xf numFmtId="0" fontId="59" fillId="0" borderId="14" xfId="0" applyFont="1" applyBorder="1" applyAlignment="1">
      <alignment horizontal="center" vertical="center"/>
    </xf>
    <xf numFmtId="0" fontId="59" fillId="0" borderId="0" xfId="0" applyFont="1" applyAlignment="1">
      <alignment horizontal="center" vertical="center"/>
    </xf>
    <xf numFmtId="0" fontId="59" fillId="0" borderId="16" xfId="0" applyFont="1" applyBorder="1" applyAlignment="1">
      <alignment horizontal="center" vertical="center"/>
    </xf>
    <xf numFmtId="0" fontId="59" fillId="0" borderId="18" xfId="0" applyFont="1" applyBorder="1" applyAlignment="1">
      <alignment horizontal="center" vertical="center"/>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59" fillId="0" borderId="13" xfId="0" applyFont="1" applyBorder="1" applyAlignment="1">
      <alignment horizontal="center" vertical="center"/>
    </xf>
    <xf numFmtId="0" fontId="59" fillId="0" borderId="15" xfId="0" applyFont="1" applyBorder="1" applyAlignment="1">
      <alignment horizontal="center" vertical="center"/>
    </xf>
    <xf numFmtId="0" fontId="59" fillId="0" borderId="17" xfId="0" applyFont="1" applyBorder="1" applyAlignment="1">
      <alignment horizontal="center" vertical="center"/>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59" fillId="0" borderId="19" xfId="0" applyFont="1" applyBorder="1" applyAlignment="1">
      <alignment horizontal="center" vertical="center" wrapText="1"/>
    </xf>
    <xf numFmtId="0" fontId="22" fillId="0" borderId="0" xfId="0" applyFont="1" applyAlignment="1">
      <alignment horizontal="center" vertical="center"/>
    </xf>
    <xf numFmtId="0" fontId="40" fillId="0" borderId="0" xfId="0" applyFont="1" applyAlignment="1">
      <alignment horizontal="center" vertical="center"/>
    </xf>
    <xf numFmtId="0" fontId="37" fillId="15" borderId="33" xfId="0" applyFont="1" applyFill="1" applyBorder="1" applyAlignment="1">
      <alignment horizontal="center" vertical="center" wrapText="1" readingOrder="1"/>
    </xf>
    <xf numFmtId="0" fontId="37" fillId="15" borderId="34" xfId="0" applyFont="1" applyFill="1" applyBorder="1" applyAlignment="1">
      <alignment horizontal="center" vertical="center" wrapText="1" readingOrder="1"/>
    </xf>
    <xf numFmtId="0" fontId="37" fillId="15" borderId="45"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5" borderId="42" xfId="0" applyFont="1" applyFill="1" applyBorder="1" applyAlignment="1">
      <alignment horizontal="center" vertical="center" wrapText="1" readingOrder="1"/>
    </xf>
    <xf numFmtId="0" fontId="34" fillId="15" borderId="43" xfId="0" applyFont="1" applyFill="1" applyBorder="1" applyAlignment="1">
      <alignment horizontal="center" vertical="center" wrapText="1" readingOrder="1"/>
    </xf>
    <xf numFmtId="0" fontId="34" fillId="3" borderId="40" xfId="0" applyFont="1" applyFill="1" applyBorder="1" applyAlignment="1">
      <alignment horizontal="center" vertical="center" wrapText="1" readingOrder="1"/>
    </xf>
    <xf numFmtId="0" fontId="34" fillId="3" borderId="35" xfId="0" applyFont="1" applyFill="1" applyBorder="1" applyAlignment="1">
      <alignment horizontal="center" vertical="center" wrapText="1" readingOrder="1"/>
    </xf>
    <xf numFmtId="0" fontId="34" fillId="3" borderId="32" xfId="0" applyFont="1" applyFill="1" applyBorder="1" applyAlignment="1">
      <alignment horizontal="center" vertical="center" wrapText="1" readingOrder="1"/>
    </xf>
    <xf numFmtId="0" fontId="34" fillId="3" borderId="31" xfId="0" applyFont="1" applyFill="1" applyBorder="1" applyAlignment="1">
      <alignment horizontal="center" vertical="center" wrapText="1" readingOrder="1"/>
    </xf>
    <xf numFmtId="0" fontId="34" fillId="3" borderId="37" xfId="0" applyFont="1" applyFill="1" applyBorder="1" applyAlignment="1">
      <alignment horizontal="center" vertical="center" wrapText="1" readingOrder="1"/>
    </xf>
    <xf numFmtId="0" fontId="34" fillId="3" borderId="3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2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612323</xdr:colOff>
      <xdr:row>0</xdr:row>
      <xdr:rowOff>163286</xdr:rowOff>
    </xdr:from>
    <xdr:to>
      <xdr:col>41</xdr:col>
      <xdr:colOff>1428750</xdr:colOff>
      <xdr:row>7</xdr:row>
      <xdr:rowOff>43845</xdr:rowOff>
    </xdr:to>
    <xdr:pic>
      <xdr:nvPicPr>
        <xdr:cNvPr id="2" name="image11.png">
          <a:extLst>
            <a:ext uri="{FF2B5EF4-FFF2-40B4-BE49-F238E27FC236}">
              <a16:creationId xmlns:a16="http://schemas.microsoft.com/office/drawing/2014/main" id="{C2BF5A82-EE27-4073-A9A9-1F33CB7F10DE}"/>
            </a:ext>
          </a:extLst>
        </xdr:cNvPr>
        <xdr:cNvPicPr/>
      </xdr:nvPicPr>
      <xdr:blipFill>
        <a:blip xmlns:r="http://schemas.openxmlformats.org/officeDocument/2006/relationships" r:embed="rId1"/>
        <a:srcRect/>
        <a:stretch>
          <a:fillRect/>
        </a:stretch>
      </xdr:blipFill>
      <xdr:spPr>
        <a:xfrm>
          <a:off x="31269216" y="163286"/>
          <a:ext cx="1986642" cy="1064380"/>
        </a:xfrm>
        <a:prstGeom prst="rect">
          <a:avLst/>
        </a:prstGeom>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opLeftCell="A37" zoomScale="110" zoomScaleNormal="110" workbookViewId="0">
      <selection activeCell="B48" sqref="B48"/>
    </sheetView>
  </sheetViews>
  <sheetFormatPr baseColWidth="10" defaultRowHeight="15" x14ac:dyDescent="0.25"/>
  <cols>
    <col min="1" max="1" width="2.85546875" style="42" customWidth="1"/>
    <col min="2" max="3" width="24.7109375" style="42" customWidth="1"/>
    <col min="4" max="4" width="16" style="42" customWidth="1"/>
    <col min="5" max="5" width="24.7109375" style="42" customWidth="1"/>
    <col min="6" max="6" width="27.7109375" style="42" customWidth="1"/>
    <col min="7" max="8" width="24.7109375" style="42" customWidth="1"/>
    <col min="9" max="16384" width="11.42578125" style="42"/>
  </cols>
  <sheetData>
    <row r="1" spans="2:8" ht="15.75" thickBot="1" x14ac:dyDescent="0.3"/>
    <row r="2" spans="2:8" ht="18" x14ac:dyDescent="0.25">
      <c r="B2" s="254" t="s">
        <v>161</v>
      </c>
      <c r="C2" s="255"/>
      <c r="D2" s="255"/>
      <c r="E2" s="255"/>
      <c r="F2" s="255"/>
      <c r="G2" s="255"/>
      <c r="H2" s="256"/>
    </row>
    <row r="3" spans="2:8" x14ac:dyDescent="0.25">
      <c r="B3" s="43"/>
      <c r="C3" s="44"/>
      <c r="D3" s="44"/>
      <c r="E3" s="44"/>
      <c r="F3" s="44"/>
      <c r="G3" s="44"/>
      <c r="H3" s="45"/>
    </row>
    <row r="4" spans="2:8" ht="63" customHeight="1" x14ac:dyDescent="0.25">
      <c r="B4" s="257" t="s">
        <v>204</v>
      </c>
      <c r="C4" s="258"/>
      <c r="D4" s="258"/>
      <c r="E4" s="258"/>
      <c r="F4" s="258"/>
      <c r="G4" s="258"/>
      <c r="H4" s="259"/>
    </row>
    <row r="5" spans="2:8" ht="63" customHeight="1" x14ac:dyDescent="0.25">
      <c r="B5" s="260"/>
      <c r="C5" s="261"/>
      <c r="D5" s="261"/>
      <c r="E5" s="261"/>
      <c r="F5" s="261"/>
      <c r="G5" s="261"/>
      <c r="H5" s="262"/>
    </row>
    <row r="6" spans="2:8" ht="16.5" x14ac:dyDescent="0.25">
      <c r="B6" s="263" t="s">
        <v>159</v>
      </c>
      <c r="C6" s="264"/>
      <c r="D6" s="264"/>
      <c r="E6" s="264"/>
      <c r="F6" s="264"/>
      <c r="G6" s="264"/>
      <c r="H6" s="265"/>
    </row>
    <row r="7" spans="2:8" ht="95.25" customHeight="1" x14ac:dyDescent="0.25">
      <c r="B7" s="273" t="s">
        <v>164</v>
      </c>
      <c r="C7" s="274"/>
      <c r="D7" s="274"/>
      <c r="E7" s="274"/>
      <c r="F7" s="274"/>
      <c r="G7" s="274"/>
      <c r="H7" s="275"/>
    </row>
    <row r="8" spans="2:8" ht="16.5" x14ac:dyDescent="0.25">
      <c r="B8" s="80"/>
      <c r="C8" s="81"/>
      <c r="D8" s="81"/>
      <c r="E8" s="81"/>
      <c r="F8" s="81"/>
      <c r="G8" s="81"/>
      <c r="H8" s="82"/>
    </row>
    <row r="9" spans="2:8" ht="16.5" customHeight="1" x14ac:dyDescent="0.25">
      <c r="B9" s="266" t="s">
        <v>197</v>
      </c>
      <c r="C9" s="267"/>
      <c r="D9" s="267"/>
      <c r="E9" s="267"/>
      <c r="F9" s="267"/>
      <c r="G9" s="267"/>
      <c r="H9" s="268"/>
    </row>
    <row r="10" spans="2:8" ht="44.25" customHeight="1" x14ac:dyDescent="0.25">
      <c r="B10" s="266"/>
      <c r="C10" s="267"/>
      <c r="D10" s="267"/>
      <c r="E10" s="267"/>
      <c r="F10" s="267"/>
      <c r="G10" s="267"/>
      <c r="H10" s="268"/>
    </row>
    <row r="11" spans="2:8" ht="15.75" thickBot="1" x14ac:dyDescent="0.3">
      <c r="B11" s="68"/>
      <c r="C11" s="71"/>
      <c r="D11" s="76"/>
      <c r="E11" s="77"/>
      <c r="F11" s="77"/>
      <c r="G11" s="78"/>
      <c r="H11" s="79"/>
    </row>
    <row r="12" spans="2:8" ht="15.75" thickTop="1" x14ac:dyDescent="0.25">
      <c r="B12" s="68"/>
      <c r="C12" s="269" t="s">
        <v>160</v>
      </c>
      <c r="D12" s="270"/>
      <c r="E12" s="271" t="s">
        <v>198</v>
      </c>
      <c r="F12" s="272"/>
      <c r="G12" s="71"/>
      <c r="H12" s="72"/>
    </row>
    <row r="13" spans="2:8" ht="35.25" customHeight="1" x14ac:dyDescent="0.25">
      <c r="B13" s="68"/>
      <c r="C13" s="241" t="s">
        <v>191</v>
      </c>
      <c r="D13" s="242"/>
      <c r="E13" s="243" t="s">
        <v>196</v>
      </c>
      <c r="F13" s="244"/>
      <c r="G13" s="71"/>
      <c r="H13" s="72"/>
    </row>
    <row r="14" spans="2:8" ht="17.25" customHeight="1" x14ac:dyDescent="0.25">
      <c r="B14" s="68"/>
      <c r="C14" s="241" t="s">
        <v>192</v>
      </c>
      <c r="D14" s="242"/>
      <c r="E14" s="243" t="s">
        <v>194</v>
      </c>
      <c r="F14" s="244"/>
      <c r="G14" s="71"/>
      <c r="H14" s="72"/>
    </row>
    <row r="15" spans="2:8" ht="19.5" customHeight="1" x14ac:dyDescent="0.25">
      <c r="B15" s="68"/>
      <c r="C15" s="241" t="s">
        <v>193</v>
      </c>
      <c r="D15" s="242"/>
      <c r="E15" s="243" t="s">
        <v>195</v>
      </c>
      <c r="F15" s="244"/>
      <c r="G15" s="71"/>
      <c r="H15" s="72"/>
    </row>
    <row r="16" spans="2:8" ht="69.75" customHeight="1" x14ac:dyDescent="0.25">
      <c r="B16" s="68"/>
      <c r="C16" s="241" t="s">
        <v>162</v>
      </c>
      <c r="D16" s="242"/>
      <c r="E16" s="243" t="s">
        <v>163</v>
      </c>
      <c r="F16" s="244"/>
      <c r="G16" s="71"/>
      <c r="H16" s="72"/>
    </row>
    <row r="17" spans="2:8" ht="34.5" customHeight="1" x14ac:dyDescent="0.25">
      <c r="B17" s="68"/>
      <c r="C17" s="245" t="s">
        <v>2</v>
      </c>
      <c r="D17" s="246"/>
      <c r="E17" s="237" t="s">
        <v>205</v>
      </c>
      <c r="F17" s="238"/>
      <c r="G17" s="71"/>
      <c r="H17" s="72"/>
    </row>
    <row r="18" spans="2:8" ht="27.75" customHeight="1" x14ac:dyDescent="0.25">
      <c r="B18" s="68"/>
      <c r="C18" s="245" t="s">
        <v>3</v>
      </c>
      <c r="D18" s="246"/>
      <c r="E18" s="237" t="s">
        <v>206</v>
      </c>
      <c r="F18" s="238"/>
      <c r="G18" s="71"/>
      <c r="H18" s="72"/>
    </row>
    <row r="19" spans="2:8" ht="28.5" customHeight="1" x14ac:dyDescent="0.25">
      <c r="B19" s="68"/>
      <c r="C19" s="245" t="s">
        <v>42</v>
      </c>
      <c r="D19" s="246"/>
      <c r="E19" s="237" t="s">
        <v>207</v>
      </c>
      <c r="F19" s="238"/>
      <c r="G19" s="71"/>
      <c r="H19" s="72"/>
    </row>
    <row r="20" spans="2:8" ht="72.75" customHeight="1" x14ac:dyDescent="0.25">
      <c r="B20" s="68"/>
      <c r="C20" s="245" t="s">
        <v>1</v>
      </c>
      <c r="D20" s="246"/>
      <c r="E20" s="237" t="s">
        <v>208</v>
      </c>
      <c r="F20" s="238"/>
      <c r="G20" s="71"/>
      <c r="H20" s="72"/>
    </row>
    <row r="21" spans="2:8" ht="64.5" customHeight="1" x14ac:dyDescent="0.25">
      <c r="B21" s="68"/>
      <c r="C21" s="245" t="s">
        <v>48</v>
      </c>
      <c r="D21" s="246"/>
      <c r="E21" s="237" t="s">
        <v>166</v>
      </c>
      <c r="F21" s="238"/>
      <c r="G21" s="71"/>
      <c r="H21" s="72"/>
    </row>
    <row r="22" spans="2:8" ht="71.25" customHeight="1" x14ac:dyDescent="0.25">
      <c r="B22" s="68"/>
      <c r="C22" s="245" t="s">
        <v>165</v>
      </c>
      <c r="D22" s="246"/>
      <c r="E22" s="237" t="s">
        <v>167</v>
      </c>
      <c r="F22" s="238"/>
      <c r="G22" s="71"/>
      <c r="H22" s="72"/>
    </row>
    <row r="23" spans="2:8" ht="55.5" customHeight="1" x14ac:dyDescent="0.25">
      <c r="B23" s="68"/>
      <c r="C23" s="239" t="s">
        <v>168</v>
      </c>
      <c r="D23" s="240"/>
      <c r="E23" s="237" t="s">
        <v>169</v>
      </c>
      <c r="F23" s="238"/>
      <c r="G23" s="71"/>
      <c r="H23" s="72"/>
    </row>
    <row r="24" spans="2:8" ht="42" customHeight="1" x14ac:dyDescent="0.25">
      <c r="B24" s="68"/>
      <c r="C24" s="239" t="s">
        <v>46</v>
      </c>
      <c r="D24" s="240"/>
      <c r="E24" s="237" t="s">
        <v>170</v>
      </c>
      <c r="F24" s="238"/>
      <c r="G24" s="71"/>
      <c r="H24" s="72"/>
    </row>
    <row r="25" spans="2:8" ht="59.25" customHeight="1" x14ac:dyDescent="0.25">
      <c r="B25" s="68"/>
      <c r="C25" s="239" t="s">
        <v>158</v>
      </c>
      <c r="D25" s="240"/>
      <c r="E25" s="237" t="s">
        <v>171</v>
      </c>
      <c r="F25" s="238"/>
      <c r="G25" s="71"/>
      <c r="H25" s="72"/>
    </row>
    <row r="26" spans="2:8" ht="23.25" customHeight="1" x14ac:dyDescent="0.25">
      <c r="B26" s="68"/>
      <c r="C26" s="239" t="s">
        <v>12</v>
      </c>
      <c r="D26" s="240"/>
      <c r="E26" s="237" t="s">
        <v>172</v>
      </c>
      <c r="F26" s="238"/>
      <c r="G26" s="71"/>
      <c r="H26" s="72"/>
    </row>
    <row r="27" spans="2:8" ht="30.75" customHeight="1" x14ac:dyDescent="0.25">
      <c r="B27" s="68"/>
      <c r="C27" s="239" t="s">
        <v>176</v>
      </c>
      <c r="D27" s="240"/>
      <c r="E27" s="237" t="s">
        <v>173</v>
      </c>
      <c r="F27" s="238"/>
      <c r="G27" s="71"/>
      <c r="H27" s="72"/>
    </row>
    <row r="28" spans="2:8" ht="35.25" customHeight="1" x14ac:dyDescent="0.25">
      <c r="B28" s="68"/>
      <c r="C28" s="239" t="s">
        <v>177</v>
      </c>
      <c r="D28" s="240"/>
      <c r="E28" s="237" t="s">
        <v>174</v>
      </c>
      <c r="F28" s="238"/>
      <c r="G28" s="71"/>
      <c r="H28" s="72"/>
    </row>
    <row r="29" spans="2:8" ht="33" customHeight="1" x14ac:dyDescent="0.25">
      <c r="B29" s="68"/>
      <c r="C29" s="239" t="s">
        <v>177</v>
      </c>
      <c r="D29" s="240"/>
      <c r="E29" s="237" t="s">
        <v>174</v>
      </c>
      <c r="F29" s="238"/>
      <c r="G29" s="71"/>
      <c r="H29" s="72"/>
    </row>
    <row r="30" spans="2:8" ht="30" customHeight="1" x14ac:dyDescent="0.25">
      <c r="B30" s="68"/>
      <c r="C30" s="239" t="s">
        <v>178</v>
      </c>
      <c r="D30" s="240"/>
      <c r="E30" s="237" t="s">
        <v>175</v>
      </c>
      <c r="F30" s="238"/>
      <c r="G30" s="71"/>
      <c r="H30" s="72"/>
    </row>
    <row r="31" spans="2:8" ht="35.25" customHeight="1" x14ac:dyDescent="0.25">
      <c r="B31" s="68"/>
      <c r="C31" s="239" t="s">
        <v>179</v>
      </c>
      <c r="D31" s="240"/>
      <c r="E31" s="237" t="s">
        <v>180</v>
      </c>
      <c r="F31" s="238"/>
      <c r="G31" s="71"/>
      <c r="H31" s="72"/>
    </row>
    <row r="32" spans="2:8" ht="31.5" customHeight="1" x14ac:dyDescent="0.25">
      <c r="B32" s="68"/>
      <c r="C32" s="239" t="s">
        <v>181</v>
      </c>
      <c r="D32" s="240"/>
      <c r="E32" s="237" t="s">
        <v>182</v>
      </c>
      <c r="F32" s="238"/>
      <c r="G32" s="71"/>
      <c r="H32" s="72"/>
    </row>
    <row r="33" spans="2:8" ht="35.25" customHeight="1" x14ac:dyDescent="0.25">
      <c r="B33" s="68"/>
      <c r="C33" s="239" t="s">
        <v>183</v>
      </c>
      <c r="D33" s="240"/>
      <c r="E33" s="237" t="s">
        <v>184</v>
      </c>
      <c r="F33" s="238"/>
      <c r="G33" s="71"/>
      <c r="H33" s="72"/>
    </row>
    <row r="34" spans="2:8" ht="59.25" customHeight="1" x14ac:dyDescent="0.25">
      <c r="B34" s="68"/>
      <c r="C34" s="239" t="s">
        <v>185</v>
      </c>
      <c r="D34" s="240"/>
      <c r="E34" s="237" t="s">
        <v>186</v>
      </c>
      <c r="F34" s="238"/>
      <c r="G34" s="71"/>
      <c r="H34" s="72"/>
    </row>
    <row r="35" spans="2:8" ht="29.25" customHeight="1" x14ac:dyDescent="0.25">
      <c r="B35" s="68"/>
      <c r="C35" s="239" t="s">
        <v>29</v>
      </c>
      <c r="D35" s="240"/>
      <c r="E35" s="237" t="s">
        <v>187</v>
      </c>
      <c r="F35" s="238"/>
      <c r="G35" s="71"/>
      <c r="H35" s="72"/>
    </row>
    <row r="36" spans="2:8" ht="82.5" customHeight="1" x14ac:dyDescent="0.25">
      <c r="B36" s="68"/>
      <c r="C36" s="239" t="s">
        <v>189</v>
      </c>
      <c r="D36" s="240"/>
      <c r="E36" s="237" t="s">
        <v>188</v>
      </c>
      <c r="F36" s="238"/>
      <c r="G36" s="71"/>
      <c r="H36" s="72"/>
    </row>
    <row r="37" spans="2:8" ht="46.5" customHeight="1" x14ac:dyDescent="0.25">
      <c r="B37" s="68"/>
      <c r="C37" s="239" t="s">
        <v>39</v>
      </c>
      <c r="D37" s="240"/>
      <c r="E37" s="237" t="s">
        <v>190</v>
      </c>
      <c r="F37" s="238"/>
      <c r="G37" s="71"/>
      <c r="H37" s="72"/>
    </row>
    <row r="38" spans="2:8" ht="6.75" customHeight="1" thickBot="1" x14ac:dyDescent="0.3">
      <c r="B38" s="68"/>
      <c r="C38" s="250"/>
      <c r="D38" s="251"/>
      <c r="E38" s="252"/>
      <c r="F38" s="253"/>
      <c r="G38" s="71"/>
      <c r="H38" s="72"/>
    </row>
    <row r="39" spans="2:8" ht="15.75" thickTop="1" x14ac:dyDescent="0.25">
      <c r="B39" s="68"/>
      <c r="C39" s="69"/>
      <c r="D39" s="69"/>
      <c r="E39" s="70"/>
      <c r="F39" s="70"/>
      <c r="G39" s="71"/>
      <c r="H39" s="72"/>
    </row>
    <row r="40" spans="2:8" ht="21" customHeight="1" x14ac:dyDescent="0.25">
      <c r="B40" s="247" t="s">
        <v>199</v>
      </c>
      <c r="C40" s="248"/>
      <c r="D40" s="248"/>
      <c r="E40" s="248"/>
      <c r="F40" s="248"/>
      <c r="G40" s="248"/>
      <c r="H40" s="249"/>
    </row>
    <row r="41" spans="2:8" ht="20.25" customHeight="1" x14ac:dyDescent="0.25">
      <c r="B41" s="247" t="s">
        <v>200</v>
      </c>
      <c r="C41" s="248"/>
      <c r="D41" s="248"/>
      <c r="E41" s="248"/>
      <c r="F41" s="248"/>
      <c r="G41" s="248"/>
      <c r="H41" s="249"/>
    </row>
    <row r="42" spans="2:8" ht="20.25" customHeight="1" x14ac:dyDescent="0.25">
      <c r="B42" s="247" t="s">
        <v>201</v>
      </c>
      <c r="C42" s="248"/>
      <c r="D42" s="248"/>
      <c r="E42" s="248"/>
      <c r="F42" s="248"/>
      <c r="G42" s="248"/>
      <c r="H42" s="249"/>
    </row>
    <row r="43" spans="2:8" ht="20.25" customHeight="1" x14ac:dyDescent="0.25">
      <c r="B43" s="247" t="s">
        <v>202</v>
      </c>
      <c r="C43" s="248"/>
      <c r="D43" s="248"/>
      <c r="E43" s="248"/>
      <c r="F43" s="248"/>
      <c r="G43" s="248"/>
      <c r="H43" s="249"/>
    </row>
    <row r="44" spans="2:8" x14ac:dyDescent="0.25">
      <c r="B44" s="247" t="s">
        <v>203</v>
      </c>
      <c r="C44" s="248"/>
      <c r="D44" s="248"/>
      <c r="E44" s="248"/>
      <c r="F44" s="248"/>
      <c r="G44" s="248"/>
      <c r="H44" s="249"/>
    </row>
    <row r="45" spans="2:8" ht="15.75" thickBot="1" x14ac:dyDescent="0.3">
      <c r="B45" s="73"/>
      <c r="C45" s="74"/>
      <c r="D45" s="74"/>
      <c r="E45" s="74"/>
      <c r="F45" s="74"/>
      <c r="G45" s="74"/>
      <c r="H45" s="75"/>
    </row>
    <row r="47" spans="2:8" x14ac:dyDescent="0.25">
      <c r="B47" s="110" t="s">
        <v>234</v>
      </c>
    </row>
    <row r="48" spans="2:8" x14ac:dyDescent="0.25">
      <c r="B48" s="42" t="s">
        <v>232</v>
      </c>
    </row>
    <row r="49" spans="2:2" x14ac:dyDescent="0.25">
      <c r="B49" s="42" t="s">
        <v>233</v>
      </c>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B69"/>
  <sheetViews>
    <sheetView tabSelected="1" topLeftCell="A3" zoomScale="70" zoomScaleNormal="70" workbookViewId="0">
      <selection activeCell="AP3" sqref="AP3"/>
    </sheetView>
  </sheetViews>
  <sheetFormatPr baseColWidth="10" defaultRowHeight="16.5" x14ac:dyDescent="0.3"/>
  <cols>
    <col min="1" max="1" width="10.5703125" style="2" customWidth="1"/>
    <col min="2" max="2" width="20.28515625" style="2" customWidth="1"/>
    <col min="3" max="3" width="46.42578125" style="2" customWidth="1"/>
    <col min="4" max="4" width="20.28515625" style="2" customWidth="1"/>
    <col min="5" max="5" width="14.140625" style="2" customWidth="1"/>
    <col min="6" max="6" width="17.7109375" style="2" customWidth="1"/>
    <col min="7" max="7" width="31.7109375" style="2" customWidth="1"/>
    <col min="8" max="8" width="53" style="1" customWidth="1"/>
    <col min="9" max="9" width="27.140625" style="1" customWidth="1"/>
    <col min="10" max="10" width="17.85546875" style="1" bestFit="1" customWidth="1"/>
    <col min="11" max="11" width="26.140625" style="1" customWidth="1"/>
    <col min="12" max="12" width="25.28515625" style="1" customWidth="1"/>
    <col min="13" max="13" width="19" style="5" customWidth="1"/>
    <col min="14" max="14" width="17.85546875" style="1" customWidth="1"/>
    <col min="15" max="15" width="16.5703125" style="1" customWidth="1"/>
    <col min="16" max="16" width="7.85546875" style="1" bestFit="1" customWidth="1"/>
    <col min="17" max="17" width="27.28515625" style="1" bestFit="1" customWidth="1"/>
    <col min="18" max="18" width="22.140625" style="1" customWidth="1"/>
    <col min="19" max="19" width="17.5703125" style="1" customWidth="1"/>
    <col min="20" max="20" width="7.85546875" style="1" bestFit="1" customWidth="1"/>
    <col min="21" max="21" width="16" style="1" customWidth="1"/>
    <col min="22" max="22" width="5.85546875" style="1" customWidth="1"/>
    <col min="23" max="23" width="46.5703125" style="1" customWidth="1"/>
    <col min="24" max="24" width="15.140625" style="1" bestFit="1" customWidth="1"/>
    <col min="25" max="25" width="6.85546875" style="1" customWidth="1"/>
    <col min="26" max="26" width="5" style="1" customWidth="1"/>
    <col min="27" max="27" width="7" style="1" customWidth="1"/>
    <col min="28" max="28" width="7.140625" style="1" customWidth="1"/>
    <col min="29" max="29" width="6.7109375" style="1" customWidth="1"/>
    <col min="30" max="30" width="7.5703125" style="1" customWidth="1"/>
    <col min="31" max="31" width="7.28515625" style="183" customWidth="1"/>
    <col min="32" max="32" width="8.7109375" style="1" customWidth="1"/>
    <col min="33" max="33" width="10.42578125" style="1" customWidth="1"/>
    <col min="34" max="34" width="9.7109375" style="1" customWidth="1"/>
    <col min="35" max="35" width="9.140625" style="1" customWidth="1"/>
    <col min="36" max="36" width="8.42578125" style="1" customWidth="1"/>
    <col min="37" max="37" width="7.28515625" style="1" customWidth="1"/>
    <col min="38" max="38" width="52.85546875" style="1" customWidth="1"/>
    <col min="39" max="39" width="24.7109375" style="1" customWidth="1"/>
    <col min="40" max="40" width="20.28515625" style="1" customWidth="1"/>
    <col min="41" max="41" width="17.5703125" style="1" customWidth="1"/>
    <col min="42" max="42" width="81.5703125" style="1" customWidth="1"/>
    <col min="43" max="43" width="21" style="1" customWidth="1"/>
    <col min="44" max="44" width="31.28515625" style="1" customWidth="1"/>
    <col min="45" max="16384" width="11.42578125" style="1"/>
  </cols>
  <sheetData>
    <row r="1" spans="1:288" x14ac:dyDescent="0.3">
      <c r="A1" s="25"/>
      <c r="B1" s="25"/>
      <c r="C1" s="25"/>
      <c r="D1" s="25"/>
      <c r="E1" s="25"/>
      <c r="F1" s="25"/>
      <c r="G1" s="25"/>
      <c r="H1" s="6"/>
      <c r="I1" s="6"/>
      <c r="J1" s="6"/>
      <c r="K1" s="6"/>
      <c r="L1" s="6"/>
      <c r="M1" s="24"/>
      <c r="N1" s="6"/>
      <c r="O1" s="6"/>
      <c r="P1" s="6"/>
      <c r="Q1" s="6"/>
      <c r="R1" s="6"/>
      <c r="S1" s="6"/>
      <c r="T1" s="6"/>
      <c r="U1" s="6"/>
      <c r="V1" s="6"/>
      <c r="W1" s="6"/>
      <c r="X1" s="6"/>
      <c r="Y1" s="6"/>
      <c r="Z1" s="6"/>
      <c r="AA1" s="6"/>
      <c r="AB1" s="6"/>
      <c r="AC1" s="6"/>
      <c r="AD1" s="6"/>
      <c r="AE1" s="179"/>
      <c r="AF1" s="6"/>
      <c r="AG1" s="6"/>
      <c r="AH1" s="6"/>
      <c r="AI1" s="6"/>
      <c r="AJ1" s="6"/>
      <c r="AK1" s="6"/>
      <c r="AL1" s="6"/>
      <c r="AM1" s="6"/>
      <c r="AN1" s="6"/>
      <c r="AO1" s="6"/>
      <c r="AP1" s="6"/>
      <c r="AQ1" s="6"/>
    </row>
    <row r="2" spans="1:288" x14ac:dyDescent="0.3">
      <c r="A2" s="25"/>
      <c r="B2" s="25"/>
      <c r="C2" s="87" t="s">
        <v>217</v>
      </c>
      <c r="D2" s="87"/>
      <c r="E2" s="25"/>
      <c r="F2" s="25"/>
      <c r="G2" s="25"/>
      <c r="H2" s="6"/>
      <c r="I2" s="6"/>
      <c r="J2" s="6"/>
      <c r="K2" s="6"/>
      <c r="L2" s="6"/>
      <c r="M2" s="24"/>
      <c r="N2" s="6"/>
      <c r="O2" s="6"/>
      <c r="P2" s="6"/>
      <c r="Q2" s="6"/>
      <c r="R2" s="6"/>
      <c r="S2" s="6"/>
      <c r="T2" s="6"/>
      <c r="U2" s="6"/>
      <c r="V2" s="6"/>
      <c r="W2" s="6"/>
      <c r="X2" s="6"/>
      <c r="Y2" s="6"/>
      <c r="Z2" s="6"/>
      <c r="AA2" s="6"/>
      <c r="AB2" s="6"/>
      <c r="AC2" s="6"/>
      <c r="AD2" s="6"/>
      <c r="AE2" s="179"/>
      <c r="AF2" s="6"/>
      <c r="AG2" s="6"/>
      <c r="AH2" s="6"/>
      <c r="AI2" s="6"/>
      <c r="AJ2" s="6"/>
      <c r="AK2" s="6"/>
      <c r="AL2" s="6"/>
      <c r="AM2" s="6"/>
      <c r="AN2" s="6"/>
      <c r="AO2" s="6"/>
      <c r="AP2" s="6"/>
      <c r="AQ2" s="6"/>
    </row>
    <row r="3" spans="1:288" x14ac:dyDescent="0.3">
      <c r="A3" s="25"/>
      <c r="B3" s="25"/>
      <c r="C3" s="87" t="s">
        <v>238</v>
      </c>
      <c r="D3" s="87"/>
      <c r="E3" s="25"/>
      <c r="F3" s="25"/>
      <c r="G3" s="25"/>
      <c r="H3" s="6"/>
      <c r="I3" s="6"/>
      <c r="J3" s="6"/>
      <c r="K3" s="6"/>
      <c r="L3" s="6"/>
      <c r="M3" s="24"/>
      <c r="N3" s="6"/>
      <c r="O3" s="6"/>
      <c r="P3" s="6"/>
      <c r="Q3" s="6"/>
      <c r="R3" s="6"/>
      <c r="S3" s="6"/>
      <c r="T3" s="6"/>
      <c r="U3" s="6"/>
      <c r="V3" s="6"/>
      <c r="W3" s="6"/>
      <c r="X3" s="6"/>
      <c r="Y3" s="6"/>
      <c r="Z3" s="6"/>
      <c r="AA3" s="6"/>
      <c r="AB3" s="6"/>
      <c r="AC3" s="6"/>
      <c r="AD3" s="6"/>
      <c r="AE3" s="179"/>
      <c r="AF3" s="6"/>
      <c r="AG3" s="6"/>
      <c r="AH3" s="6"/>
      <c r="AI3" s="6"/>
      <c r="AJ3" s="6"/>
      <c r="AK3" s="6"/>
      <c r="AL3" s="6"/>
      <c r="AM3" s="6"/>
      <c r="AN3" s="6"/>
      <c r="AO3" s="6"/>
      <c r="AP3" s="6"/>
      <c r="AQ3" s="6"/>
    </row>
    <row r="4" spans="1:288" ht="16.5" customHeight="1" x14ac:dyDescent="0.3">
      <c r="A4" s="84"/>
      <c r="B4" s="84"/>
      <c r="C4" s="87" t="s">
        <v>237</v>
      </c>
      <c r="D4" s="87"/>
      <c r="E4" s="84"/>
      <c r="F4" s="84"/>
      <c r="G4" s="84"/>
      <c r="H4" s="85"/>
      <c r="I4" s="85"/>
      <c r="J4" s="85"/>
      <c r="K4" s="85"/>
      <c r="L4" s="85"/>
      <c r="M4" s="86"/>
      <c r="N4" s="85"/>
      <c r="O4" s="85"/>
      <c r="P4" s="85"/>
      <c r="Q4" s="85"/>
      <c r="R4" s="85"/>
      <c r="S4" s="85"/>
      <c r="T4" s="85"/>
      <c r="U4" s="85"/>
      <c r="V4" s="6"/>
      <c r="W4" s="6"/>
      <c r="X4" s="6"/>
      <c r="Y4" s="6"/>
      <c r="Z4" s="6"/>
      <c r="AA4" s="6"/>
      <c r="AB4" s="6"/>
      <c r="AC4" s="6"/>
      <c r="AD4" s="6"/>
      <c r="AE4" s="179"/>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row>
    <row r="5" spans="1:288" x14ac:dyDescent="0.3">
      <c r="A5" s="84"/>
      <c r="B5" s="84"/>
      <c r="C5" s="87" t="s">
        <v>236</v>
      </c>
      <c r="D5" s="87"/>
      <c r="E5" s="84"/>
      <c r="F5" s="84"/>
      <c r="G5" s="84"/>
      <c r="H5" s="85"/>
      <c r="I5" s="85"/>
      <c r="J5" s="85"/>
      <c r="K5" s="85"/>
      <c r="L5" s="85"/>
      <c r="M5" s="86"/>
      <c r="N5" s="85"/>
      <c r="O5" s="85"/>
      <c r="P5" s="85"/>
      <c r="Q5" s="85"/>
      <c r="R5" s="85"/>
      <c r="S5" s="85"/>
      <c r="T5" s="85"/>
      <c r="U5" s="85"/>
      <c r="V5" s="6"/>
      <c r="W5" s="6"/>
      <c r="X5" s="6"/>
      <c r="Y5" s="6"/>
      <c r="Z5" s="6"/>
      <c r="AA5" s="6"/>
      <c r="AB5" s="6"/>
      <c r="AC5" s="6"/>
      <c r="AD5" s="6"/>
      <c r="AE5" s="179"/>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row>
    <row r="6" spans="1:288" ht="12.75" customHeight="1" x14ac:dyDescent="0.3">
      <c r="A6" s="84"/>
      <c r="B6" s="84"/>
      <c r="C6" s="25"/>
      <c r="D6" s="25"/>
      <c r="E6" s="83"/>
      <c r="F6" s="84"/>
      <c r="G6" s="84"/>
      <c r="H6" s="85"/>
      <c r="I6" s="85"/>
      <c r="J6" s="85"/>
      <c r="K6" s="85"/>
      <c r="L6" s="85"/>
      <c r="M6" s="86"/>
      <c r="N6" s="85"/>
      <c r="O6" s="85"/>
      <c r="P6" s="85"/>
      <c r="Q6" s="85"/>
      <c r="R6" s="85"/>
      <c r="S6" s="85"/>
      <c r="T6" s="85"/>
      <c r="U6" s="85"/>
      <c r="V6" s="6"/>
      <c r="W6" s="6"/>
      <c r="X6" s="6"/>
      <c r="Y6" s="6"/>
      <c r="Z6" s="6"/>
      <c r="AA6" s="6"/>
      <c r="AB6" s="6"/>
      <c r="AC6" s="6"/>
      <c r="AD6" s="6"/>
      <c r="AE6" s="179"/>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row>
    <row r="7" spans="1:288" ht="13.5" hidden="1" customHeight="1" x14ac:dyDescent="0.3">
      <c r="A7" s="84"/>
      <c r="B7" s="84"/>
      <c r="C7" s="25"/>
      <c r="D7" s="25"/>
      <c r="E7" s="83"/>
      <c r="F7" s="84"/>
      <c r="G7" s="84"/>
      <c r="H7" s="85"/>
      <c r="I7" s="85"/>
      <c r="J7" s="85"/>
      <c r="K7" s="85"/>
      <c r="L7" s="85"/>
      <c r="M7" s="86"/>
      <c r="N7" s="85"/>
      <c r="O7" s="85"/>
      <c r="P7" s="85"/>
      <c r="Q7" s="85"/>
      <c r="R7" s="85"/>
      <c r="S7" s="85"/>
      <c r="T7" s="85"/>
      <c r="U7" s="85"/>
      <c r="V7" s="6"/>
      <c r="W7" s="6"/>
      <c r="X7" s="6"/>
      <c r="Y7" s="6"/>
      <c r="Z7" s="6"/>
      <c r="AA7" s="6"/>
      <c r="AB7" s="6"/>
      <c r="AC7" s="6"/>
      <c r="AD7" s="6"/>
      <c r="AE7" s="179"/>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row>
    <row r="8" spans="1:288" ht="8.25" customHeight="1" x14ac:dyDescent="0.3">
      <c r="A8" s="88"/>
      <c r="B8" s="88"/>
      <c r="C8" s="25"/>
      <c r="D8" s="25"/>
      <c r="E8" s="88"/>
      <c r="F8" s="354"/>
      <c r="G8" s="354"/>
      <c r="H8" s="354"/>
      <c r="I8" s="354"/>
      <c r="J8" s="354"/>
      <c r="K8" s="354"/>
      <c r="L8" s="354"/>
      <c r="M8" s="354"/>
      <c r="N8" s="354"/>
      <c r="O8" s="354"/>
      <c r="P8" s="354"/>
      <c r="Q8" s="354"/>
      <c r="R8" s="354"/>
      <c r="S8" s="354"/>
      <c r="T8" s="354"/>
      <c r="U8" s="354"/>
      <c r="V8" s="355"/>
      <c r="W8" s="355"/>
      <c r="X8" s="355"/>
      <c r="Y8" s="6"/>
      <c r="Z8" s="6"/>
      <c r="AA8" s="6"/>
      <c r="AB8" s="6"/>
      <c r="AC8" s="6"/>
      <c r="AD8" s="6"/>
      <c r="AE8" s="179"/>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row>
    <row r="9" spans="1:288" ht="16.5" customHeight="1" x14ac:dyDescent="0.3">
      <c r="A9" s="88"/>
      <c r="B9" s="88"/>
      <c r="C9" s="87" t="s">
        <v>220</v>
      </c>
      <c r="D9" s="87"/>
      <c r="E9" s="88"/>
      <c r="F9" s="89"/>
      <c r="G9" s="89"/>
      <c r="H9" s="89"/>
      <c r="I9" s="89"/>
      <c r="J9" s="89"/>
      <c r="K9" s="89"/>
      <c r="L9" s="89"/>
      <c r="M9" s="89"/>
      <c r="N9" s="89"/>
      <c r="O9" s="89"/>
      <c r="P9" s="89"/>
      <c r="Q9" s="89"/>
      <c r="R9" s="89"/>
      <c r="S9" s="89"/>
      <c r="T9" s="89"/>
      <c r="U9" s="89"/>
      <c r="V9" s="83"/>
      <c r="W9" s="83"/>
      <c r="X9" s="83"/>
      <c r="Y9" s="6"/>
      <c r="Z9" s="6"/>
      <c r="AA9" s="6"/>
      <c r="AB9" s="6"/>
      <c r="AC9" s="6"/>
      <c r="AD9" s="6"/>
      <c r="AE9" s="179"/>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row>
    <row r="10" spans="1:288" ht="30" customHeight="1" x14ac:dyDescent="0.3">
      <c r="A10" s="381" t="s">
        <v>139</v>
      </c>
      <c r="B10" s="382"/>
      <c r="C10" s="382"/>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row>
    <row r="11" spans="1:288" ht="10.5" customHeight="1" x14ac:dyDescent="0.3">
      <c r="A11" s="104"/>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80"/>
      <c r="AF11" s="105"/>
      <c r="AG11" s="105"/>
      <c r="AH11" s="105"/>
      <c r="AI11" s="105"/>
      <c r="AJ11" s="105"/>
      <c r="AK11" s="105"/>
      <c r="AL11" s="105"/>
      <c r="AM11" s="105"/>
      <c r="AN11" s="105"/>
      <c r="AO11" s="105"/>
      <c r="AP11" s="105"/>
      <c r="AQ11" s="105"/>
      <c r="AR11" s="105"/>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row>
    <row r="12" spans="1:288" x14ac:dyDescent="0.3">
      <c r="A12" s="356" t="s">
        <v>135</v>
      </c>
      <c r="B12" s="357"/>
      <c r="C12" s="357"/>
      <c r="D12" s="357"/>
      <c r="E12" s="357"/>
      <c r="F12" s="357"/>
      <c r="G12" s="357"/>
      <c r="H12" s="357"/>
      <c r="I12" s="357"/>
      <c r="J12" s="357"/>
      <c r="K12" s="357"/>
      <c r="L12" s="357"/>
      <c r="M12" s="357"/>
      <c r="N12" s="358"/>
      <c r="O12" s="359" t="s">
        <v>136</v>
      </c>
      <c r="P12" s="360"/>
      <c r="Q12" s="360"/>
      <c r="R12" s="360"/>
      <c r="S12" s="360"/>
      <c r="T12" s="360"/>
      <c r="U12" s="361"/>
      <c r="V12" s="356" t="s">
        <v>137</v>
      </c>
      <c r="W12" s="357"/>
      <c r="X12" s="357"/>
      <c r="Y12" s="357"/>
      <c r="Z12" s="357"/>
      <c r="AA12" s="357"/>
      <c r="AB12" s="357"/>
      <c r="AC12" s="357"/>
      <c r="AD12" s="358"/>
      <c r="AE12" s="359" t="s">
        <v>138</v>
      </c>
      <c r="AF12" s="360"/>
      <c r="AG12" s="360"/>
      <c r="AH12" s="360"/>
      <c r="AI12" s="360"/>
      <c r="AJ12" s="360"/>
      <c r="AK12" s="361"/>
      <c r="AL12" s="356" t="s">
        <v>34</v>
      </c>
      <c r="AM12" s="357"/>
      <c r="AN12" s="357"/>
      <c r="AO12" s="357"/>
      <c r="AP12" s="357"/>
      <c r="AQ12" s="357"/>
      <c r="AR12" s="357"/>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row>
    <row r="13" spans="1:288" ht="44.25" customHeight="1" x14ac:dyDescent="0.3">
      <c r="A13" s="362" t="s">
        <v>0</v>
      </c>
      <c r="B13" s="368" t="s">
        <v>218</v>
      </c>
      <c r="C13" s="364" t="s">
        <v>219</v>
      </c>
      <c r="D13" s="364" t="s">
        <v>221</v>
      </c>
      <c r="E13" s="367" t="s">
        <v>2</v>
      </c>
      <c r="F13" s="365" t="s">
        <v>3</v>
      </c>
      <c r="G13" s="365" t="s">
        <v>224</v>
      </c>
      <c r="H13" s="366" t="s">
        <v>1</v>
      </c>
      <c r="I13" s="384" t="s">
        <v>225</v>
      </c>
      <c r="J13" s="385"/>
      <c r="K13" s="385"/>
      <c r="L13" s="386"/>
      <c r="M13" s="364" t="s">
        <v>48</v>
      </c>
      <c r="N13" s="365" t="s">
        <v>131</v>
      </c>
      <c r="O13" s="383" t="s">
        <v>33</v>
      </c>
      <c r="P13" s="375" t="s">
        <v>5</v>
      </c>
      <c r="Q13" s="387" t="s">
        <v>85</v>
      </c>
      <c r="R13" s="387" t="s">
        <v>90</v>
      </c>
      <c r="S13" s="377" t="s">
        <v>43</v>
      </c>
      <c r="T13" s="375" t="s">
        <v>5</v>
      </c>
      <c r="U13" s="378" t="s">
        <v>46</v>
      </c>
      <c r="V13" s="371" t="s">
        <v>11</v>
      </c>
      <c r="W13" s="368" t="s">
        <v>158</v>
      </c>
      <c r="X13" s="364" t="s">
        <v>12</v>
      </c>
      <c r="Y13" s="368" t="s">
        <v>8</v>
      </c>
      <c r="Z13" s="368"/>
      <c r="AA13" s="368"/>
      <c r="AB13" s="368"/>
      <c r="AC13" s="368"/>
      <c r="AD13" s="368"/>
      <c r="AE13" s="374" t="s">
        <v>134</v>
      </c>
      <c r="AF13" s="373" t="s">
        <v>44</v>
      </c>
      <c r="AG13" s="373" t="s">
        <v>5</v>
      </c>
      <c r="AH13" s="373" t="s">
        <v>45</v>
      </c>
      <c r="AI13" s="373" t="s">
        <v>5</v>
      </c>
      <c r="AJ13" s="373" t="s">
        <v>47</v>
      </c>
      <c r="AK13" s="369" t="s">
        <v>29</v>
      </c>
      <c r="AL13" s="368" t="s">
        <v>34</v>
      </c>
      <c r="AM13" s="368" t="s">
        <v>35</v>
      </c>
      <c r="AN13" s="368" t="s">
        <v>36</v>
      </c>
      <c r="AO13" s="368" t="s">
        <v>38</v>
      </c>
      <c r="AP13" s="368" t="s">
        <v>37</v>
      </c>
      <c r="AQ13" s="368" t="s">
        <v>39</v>
      </c>
      <c r="AR13" s="368" t="s">
        <v>231</v>
      </c>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row>
    <row r="14" spans="1:288" s="4" customFormat="1" ht="94.5" customHeight="1" x14ac:dyDescent="0.25">
      <c r="A14" s="363"/>
      <c r="B14" s="368"/>
      <c r="C14" s="365"/>
      <c r="D14" s="365"/>
      <c r="E14" s="367"/>
      <c r="F14" s="368"/>
      <c r="G14" s="368"/>
      <c r="H14" s="367"/>
      <c r="I14" s="109" t="s">
        <v>226</v>
      </c>
      <c r="J14" s="109" t="s">
        <v>229</v>
      </c>
      <c r="K14" s="109" t="s">
        <v>227</v>
      </c>
      <c r="L14" s="109" t="s">
        <v>228</v>
      </c>
      <c r="M14" s="365"/>
      <c r="N14" s="368"/>
      <c r="O14" s="378"/>
      <c r="P14" s="376"/>
      <c r="Q14" s="378"/>
      <c r="R14" s="378"/>
      <c r="S14" s="376"/>
      <c r="T14" s="376"/>
      <c r="U14" s="379"/>
      <c r="V14" s="372"/>
      <c r="W14" s="368"/>
      <c r="X14" s="365"/>
      <c r="Y14" s="106" t="s">
        <v>13</v>
      </c>
      <c r="Z14" s="106" t="s">
        <v>17</v>
      </c>
      <c r="AA14" s="106" t="s">
        <v>28</v>
      </c>
      <c r="AB14" s="106" t="s">
        <v>18</v>
      </c>
      <c r="AC14" s="106" t="s">
        <v>21</v>
      </c>
      <c r="AD14" s="106" t="s">
        <v>24</v>
      </c>
      <c r="AE14" s="374"/>
      <c r="AF14" s="373"/>
      <c r="AG14" s="373"/>
      <c r="AH14" s="373"/>
      <c r="AI14" s="373"/>
      <c r="AJ14" s="373"/>
      <c r="AK14" s="370"/>
      <c r="AL14" s="368"/>
      <c r="AM14" s="368"/>
      <c r="AN14" s="368"/>
      <c r="AO14" s="368"/>
      <c r="AP14" s="368"/>
      <c r="AQ14" s="368"/>
      <c r="AR14" s="368"/>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row>
    <row r="15" spans="1:288" s="3" customFormat="1" ht="105" customHeight="1" x14ac:dyDescent="0.25">
      <c r="A15" s="142" t="s">
        <v>235</v>
      </c>
      <c r="B15" s="90" t="s">
        <v>209</v>
      </c>
      <c r="C15" s="90" t="s">
        <v>210</v>
      </c>
      <c r="D15" s="125" t="s">
        <v>222</v>
      </c>
      <c r="E15" s="152" t="s">
        <v>128</v>
      </c>
      <c r="F15" s="152" t="s">
        <v>213</v>
      </c>
      <c r="G15" s="152" t="s">
        <v>211</v>
      </c>
      <c r="H15" s="126" t="s">
        <v>212</v>
      </c>
      <c r="I15" s="108" t="s">
        <v>230</v>
      </c>
      <c r="J15" s="108" t="s">
        <v>230</v>
      </c>
      <c r="K15" s="108" t="s">
        <v>230</v>
      </c>
      <c r="L15" s="108" t="s">
        <v>230</v>
      </c>
      <c r="M15" s="152" t="s">
        <v>121</v>
      </c>
      <c r="N15" s="149">
        <v>12</v>
      </c>
      <c r="O15" s="145" t="str">
        <f>IF(N15&lt;=0,"",IF(N15&lt;=2,"Muy Baja",IF(N15&lt;=24,"Baja",IF(N15&lt;=500,"Media",IF(N15&lt;=5000,"Alta","Muy Alta")))))</f>
        <v>Baja</v>
      </c>
      <c r="P15" s="144">
        <f>IF(O15="","",IF(O15="Muy Baja",0.2,IF(O15="Baja",0.4,IF(O15="Media",0.6,IF(O15="Alta",0.8,IF(O15="Muy Alta",1,))))))</f>
        <v>0.4</v>
      </c>
      <c r="Q15" s="128" t="s">
        <v>150</v>
      </c>
      <c r="R15" s="122" t="str">
        <f>IF(NOT(ISERROR(MATCH(Q15,'Tabla Impacto'!$B$221:$B$223,0))),'Tabla Impacto'!$F$223&amp;"Por favor no seleccionar los criterios de impacto(Afectación Económica o presupuestal y Pérdida Reputacional)",Q15)</f>
        <v xml:space="preserve">     El riesgo afecta la imagen de la entidad con algunos usuarios de relevancia frente al logro de los objetivos</v>
      </c>
      <c r="S15" s="145" t="str">
        <f>IF(OR(R15='Tabla Impacto'!$C$11,R15='Tabla Impacto'!$D$11),"Leve",IF(OR(R15='Tabla Impacto'!$C$12,R15='Tabla Impacto'!$D$12),"Menor",IF(OR(R15='Tabla Impacto'!$C$13,R15='Tabla Impacto'!$D$13),"Moderado",IF(OR(R15='Tabla Impacto'!$C$14,R15='Tabla Impacto'!$D$14),"Mayor",IF(OR(R15='Tabla Impacto'!$C$15,R15='Tabla Impacto'!$D$15),"Catastrófico","")))))</f>
        <v>Moderado</v>
      </c>
      <c r="T15" s="144">
        <f>IF(S15="","",IF(S15="Leve",0.2,IF(S15="Menor",0.4,IF(S15="Moderado",0.6,IF(S15="Mayor",0.8,IF(S15="Catastrófico",1,))))))</f>
        <v>0.6</v>
      </c>
      <c r="U15" s="146" t="str">
        <f>IF(OR(AND(O15="Muy Baja",S15="Leve"),AND(O15="Muy Baja",S15="Menor"),AND(O15="Baja",S15="Leve")),"Bajo",IF(OR(AND(O15="Muy baja",S15="Moderado"),AND(O15="Baja",S15="Menor"),AND(O15="Baja",S15="Moderado"),AND(O15="Media",S15="Leve"),AND(O15="Media",S15="Menor"),AND(O15="Media",S15="Moderado"),AND(O15="Alta",S15="Leve"),AND(O15="Alta",S15="Menor")),"Moderado",IF(OR(AND(O15="Muy Baja",S15="Mayor"),AND(O15="Baja",S15="Mayor"),AND(O15="Media",S15="Mayor"),AND(O15="Alta",S15="Moderado"),AND(O15="Alta",S15="Mayor"),AND(O15="Muy Alta",S15="Leve"),AND(O15="Muy Alta",S15="Menor"),AND(O15="Muy Alta",S15="Moderado"),AND(O15="Muy Alta",S15="Mayor")),"Alto",IF(OR(AND(O15="Muy Baja",S15="Catastrófico"),AND(O15="Baja",S15="Catastrófico"),AND(O15="Media",S15="Catastrófico"),AND(O15="Alta",S15="Catastrófico"),AND(O15="Muy Alta",S15="Catastrófico")),"Extremo",""))))</f>
        <v>Moderado</v>
      </c>
      <c r="V15" s="91">
        <v>1</v>
      </c>
      <c r="W15" s="103" t="s">
        <v>214</v>
      </c>
      <c r="X15" s="92" t="str">
        <f>IF(OR(Y15="Preventivo",Y15="Detectivo"),"Probabilidad",IF(Y15="Correctivo","Impacto",""))</f>
        <v>Probabilidad</v>
      </c>
      <c r="Y15" s="93" t="s">
        <v>14</v>
      </c>
      <c r="Z15" s="93" t="s">
        <v>9</v>
      </c>
      <c r="AA15" s="94">
        <v>0.4</v>
      </c>
      <c r="AB15" s="93" t="s">
        <v>19</v>
      </c>
      <c r="AC15" s="93" t="s">
        <v>22</v>
      </c>
      <c r="AD15" s="93" t="s">
        <v>117</v>
      </c>
      <c r="AE15" s="181">
        <f>IFERROR(IF(X15="Probabilidad",(P15-(+P15*AA15)),IF(X15="Impacto",P15,"")),"")</f>
        <v>0.24</v>
      </c>
      <c r="AF15" s="95" t="str">
        <f>IFERROR(IF(AE15="","",IF(AE15&lt;=0.2,"Muy Baja",IF(AE15&lt;=0.4,"Baja",IF(AE15&lt;=0.6,"Media",IF(AE15&lt;=0.8,"Alta","Muy Alta"))))),"")</f>
        <v>Baja</v>
      </c>
      <c r="AG15" s="96">
        <f>+AE15</f>
        <v>0.24</v>
      </c>
      <c r="AH15" s="95" t="str">
        <f>IFERROR(IF(AI15="","",IF(AI15&lt;=0.2,"Leve",IF(AI15&lt;=0.4,"Menor",IF(AI15&lt;=0.6,"Moderado",IF(AI15&lt;=0.8,"Mayor","Catastrófico"))))),"")</f>
        <v>Moderado</v>
      </c>
      <c r="AI15" s="96">
        <f>IFERROR(IF(X15="Impacto",(T15-(+T15*AA15)),IF(X15="Probabilidad",T15,"")),"")</f>
        <v>0.6</v>
      </c>
      <c r="AJ15" s="97" t="str">
        <f>IFERROR(IF(OR(AND(AF15="Muy Baja",AH15="Leve"),AND(AF15="Muy Baja",AH15="Menor"),AND(AF15="Baja",AH15="Leve")),"Bajo",IF(OR(AND(AF15="Muy baja",AH15="Moderado"),AND(AF15="Baja",AH15="Menor"),AND(AF15="Baja",AH15="Moderado"),AND(AF15="Media",AH15="Leve"),AND(AF15="Media",AH15="Menor"),AND(AF15="Media",AH15="Moderado"),AND(AF15="Alta",AH15="Leve"),AND(AF15="Alta",AH15="Menor")),"Moderado",IF(OR(AND(AF15="Muy Baja",AH15="Mayor"),AND(AF15="Baja",AH15="Mayor"),AND(AF15="Media",AH15="Mayor"),AND(AF15="Alta",AH15="Moderado"),AND(AF15="Alta",AH15="Mayor"),AND(AF15="Muy Alta",AH15="Leve"),AND(AF15="Muy Alta",AH15="Menor"),AND(AF15="Muy Alta",AH15="Moderado"),AND(AF15="Muy Alta",AH15="Mayor")),"Alto",IF(OR(AND(AF15="Muy Baja",AH15="Catastrófico"),AND(AF15="Baja",AH15="Catastrófico"),AND(AF15="Media",AH15="Catastrófico"),AND(AF15="Alta",AH15="Catastrófico"),AND(AF15="Muy Alta",AH15="Catastrófico")),"Extremo","")))),"")</f>
        <v>Moderado</v>
      </c>
      <c r="AK15" s="98" t="s">
        <v>132</v>
      </c>
      <c r="AL15" s="99" t="s">
        <v>215</v>
      </c>
      <c r="AM15" s="99" t="s">
        <v>216</v>
      </c>
      <c r="AN15" s="112" t="s">
        <v>239</v>
      </c>
      <c r="AO15" s="101">
        <v>44452</v>
      </c>
      <c r="AP15" s="99" t="s">
        <v>573</v>
      </c>
      <c r="AQ15" s="100" t="s">
        <v>41</v>
      </c>
      <c r="AR15" s="99" t="s">
        <v>240</v>
      </c>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row>
    <row r="16" spans="1:288" ht="189" customHeight="1" x14ac:dyDescent="0.3">
      <c r="A16" s="142" t="s">
        <v>241</v>
      </c>
      <c r="B16" s="111" t="s">
        <v>242</v>
      </c>
      <c r="C16" s="111" t="s">
        <v>243</v>
      </c>
      <c r="D16" s="143" t="s">
        <v>222</v>
      </c>
      <c r="E16" s="147" t="s">
        <v>128</v>
      </c>
      <c r="F16" s="147" t="s">
        <v>244</v>
      </c>
      <c r="G16" s="147" t="s">
        <v>245</v>
      </c>
      <c r="H16" s="148" t="s">
        <v>260</v>
      </c>
      <c r="I16" s="108" t="s">
        <v>230</v>
      </c>
      <c r="J16" s="108" t="s">
        <v>230</v>
      </c>
      <c r="K16" s="108" t="s">
        <v>230</v>
      </c>
      <c r="L16" s="108" t="s">
        <v>230</v>
      </c>
      <c r="M16" s="147" t="s">
        <v>126</v>
      </c>
      <c r="N16" s="164">
        <v>200</v>
      </c>
      <c r="O16" s="165" t="str">
        <f>IF(N16&lt;=0,"",IF(N16&lt;=2,"Muy Baja",IF(N16&lt;=24,"Baja",IF(N16&lt;=500,"Media",IF(N16&lt;=5000,"Alta","Muy Alta")))))</f>
        <v>Media</v>
      </c>
      <c r="P16" s="162">
        <f>IF(O16="","",IF(O16="Muy Baja",0.2,IF(O16="Baja",0.4,IF(O16="Media",0.6,IF(O16="Alta",0.8,IF(O16="Muy Alta",1,))))))</f>
        <v>0.6</v>
      </c>
      <c r="Q16" s="128" t="s">
        <v>150</v>
      </c>
      <c r="R16" s="122" t="str">
        <f>IF(NOT(ISERROR(MATCH(Q16,'Tabla Impacto'!$B$221:$B$223,0))),'Tabla Impacto'!$F$223&amp;"Por favor no seleccionar los criterios de impacto(Afectación Económica o presupuestal y Pérdida Reputacional)",Q16)</f>
        <v xml:space="preserve">     El riesgo afecta la imagen de la entidad con algunos usuarios de relevancia frente al logro de los objetivos</v>
      </c>
      <c r="S16" s="165" t="str">
        <f>IF(OR(R16='Tabla Impacto'!$C$11,R16='Tabla Impacto'!$D$11),"Leve",IF(OR(R16='Tabla Impacto'!$C$12,R16='Tabla Impacto'!$D$12),"Menor",IF(OR(R16='Tabla Impacto'!$C$13,R16='Tabla Impacto'!$D$13),"Moderado",IF(OR(R16='Tabla Impacto'!$C$14,R16='Tabla Impacto'!$D$14),"Mayor",IF(OR(R16='Tabla Impacto'!$C$15,R16='Tabla Impacto'!$D$15),"Catastrófico","")))))</f>
        <v>Moderado</v>
      </c>
      <c r="T16" s="162">
        <f>IF(S16="","",IF(S16="Leve",0.2,IF(S16="Menor",0.4,IF(S16="Moderado",0.6,IF(S16="Mayor",0.8,IF(S16="Catastrófico",1,))))))</f>
        <v>0.6</v>
      </c>
      <c r="U16" s="163" t="str">
        <f>IF(OR(AND(O16="Muy Baja",S16="Leve"),AND(O16="Muy Baja",S16="Menor"),AND(O16="Baja",S16="Leve")),"Bajo",IF(OR(AND(O16="Muy baja",S16="Moderado"),AND(O16="Baja",S16="Menor"),AND(O16="Baja",S16="Moderado"),AND(O16="Media",S16="Leve"),AND(O16="Media",S16="Menor"),AND(O16="Media",S16="Moderado"),AND(O16="Alta",S16="Leve"),AND(O16="Alta",S16="Menor")),"Moderado",IF(OR(AND(O16="Muy Baja",S16="Mayor"),AND(O16="Baja",S16="Mayor"),AND(O16="Media",S16="Mayor"),AND(O16="Alta",S16="Moderado"),AND(O16="Alta",S16="Mayor"),AND(O16="Muy Alta",S16="Leve"),AND(O16="Muy Alta",S16="Menor"),AND(O16="Muy Alta",S16="Moderado"),AND(O16="Muy Alta",S16="Mayor")),"Alto",IF(OR(AND(O16="Muy Baja",S16="Catastrófico"),AND(O16="Baja",S16="Catastrófico"),AND(O16="Media",S16="Catastrófico"),AND(O16="Alta",S16="Catastrófico"),AND(O16="Muy Alta",S16="Catastrófico")),"Extremo",""))))</f>
        <v>Moderado</v>
      </c>
      <c r="V16" s="91">
        <v>1</v>
      </c>
      <c r="W16" s="103" t="s">
        <v>246</v>
      </c>
      <c r="X16" s="92" t="str">
        <f t="shared" ref="X16" si="0">IF(OR(Y16="Preventivo",Y16="Detectivo"),"Probabilidad",IF(Y16="Correctivo","Impacto",""))</f>
        <v>Probabilidad</v>
      </c>
      <c r="Y16" s="93" t="s">
        <v>14</v>
      </c>
      <c r="Z16" s="93" t="s">
        <v>9</v>
      </c>
      <c r="AA16" s="94" t="str">
        <f t="shared" ref="AA16" si="1">IF(AND(Y16="Preventivo",Z16="Automático"),"50%",IF(AND(Y16="Preventivo",Z16="Manual"),"40%",IF(AND(Y16="Detectivo",Z16="Automático"),"40%",IF(AND(Y16="Detectivo",Z16="Manual"),"30%",IF(AND(Y16="Correctivo",Z16="Automático"),"35%",IF(AND(Y16="Correctivo",Z16="Manual"),"25%",""))))))</f>
        <v>40%</v>
      </c>
      <c r="AB16" s="93" t="s">
        <v>19</v>
      </c>
      <c r="AC16" s="93" t="s">
        <v>22</v>
      </c>
      <c r="AD16" s="93" t="s">
        <v>117</v>
      </c>
      <c r="AE16" s="181">
        <f>IFERROR(IF(X16="Probabilidad",(P16-(+P16*AA16)),IF(X16="Impacto",P16,"")),"")</f>
        <v>0.36</v>
      </c>
      <c r="AF16" s="95" t="str">
        <f>IFERROR(IF(AE16="","",IF(AE16&lt;=0.2,"Muy Baja",IF(AE16&lt;=0.4,"Baja",IF(AE16&lt;=0.6,"Media",IF(AE16&lt;=0.8,"Alta","Muy Alta"))))),"")</f>
        <v>Baja</v>
      </c>
      <c r="AG16" s="96">
        <f>+AE16</f>
        <v>0.36</v>
      </c>
      <c r="AH16" s="95" t="str">
        <f t="shared" ref="AH16" si="2">IFERROR(IF(AI16="","",IF(AI16&lt;=0.2,"Leve",IF(AI16&lt;=0.4,"Menor",IF(AI16&lt;=0.6,"Moderado",IF(AI16&lt;=0.8,"Mayor","Catastrófico"))))),"")</f>
        <v>Moderado</v>
      </c>
      <c r="AI16" s="96">
        <f t="shared" ref="AI16" si="3">IFERROR(IF(X16="Impacto",(T16-(+T16*AA16)),IF(X16="Probabilidad",T16,"")),"")</f>
        <v>0.6</v>
      </c>
      <c r="AJ16" s="97" t="str">
        <f t="shared" ref="AJ16" si="4">IFERROR(IF(OR(AND(AF16="Muy Baja",AH16="Leve"),AND(AF16="Muy Baja",AH16="Menor"),AND(AF16="Baja",AH16="Leve")),"Bajo",IF(OR(AND(AF16="Muy baja",AH16="Moderado"),AND(AF16="Baja",AH16="Menor"),AND(AF16="Baja",AH16="Moderado"),AND(AF16="Media",AH16="Leve"),AND(AF16="Media",AH16="Menor"),AND(AF16="Media",AH16="Moderado"),AND(AF16="Alta",AH16="Leve"),AND(AF16="Alta",AH16="Menor")),"Moderado",IF(OR(AND(AF16="Muy Baja",AH16="Mayor"),AND(AF16="Baja",AH16="Mayor"),AND(AF16="Media",AH16="Mayor"),AND(AF16="Alta",AH16="Moderado"),AND(AF16="Alta",AH16="Mayor"),AND(AF16="Muy Alta",AH16="Leve"),AND(AF16="Muy Alta",AH16="Menor"),AND(AF16="Muy Alta",AH16="Moderado"),AND(AF16="Muy Alta",AH16="Mayor")),"Alto",IF(OR(AND(AF16="Muy Baja",AH16="Catastrófico"),AND(AF16="Baja",AH16="Catastrófico"),AND(AF16="Media",AH16="Catastrófico"),AND(AF16="Alta",AH16="Catastrófico"),AND(AF16="Muy Alta",AH16="Catastrófico")),"Extremo","")))),"")</f>
        <v>Moderado</v>
      </c>
      <c r="AK16" s="98" t="s">
        <v>132</v>
      </c>
      <c r="AL16" s="99" t="s">
        <v>247</v>
      </c>
      <c r="AM16" s="99" t="s">
        <v>248</v>
      </c>
      <c r="AN16" s="112" t="s">
        <v>249</v>
      </c>
      <c r="AO16" s="101">
        <v>44504</v>
      </c>
      <c r="AP16" s="99" t="s">
        <v>521</v>
      </c>
      <c r="AQ16" s="100" t="s">
        <v>41</v>
      </c>
      <c r="AR16" s="99" t="s">
        <v>250</v>
      </c>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row>
    <row r="17" spans="1:75" ht="63" customHeight="1" x14ac:dyDescent="0.3">
      <c r="A17" s="334" t="s">
        <v>251</v>
      </c>
      <c r="B17" s="331" t="s">
        <v>242</v>
      </c>
      <c r="C17" s="331" t="s">
        <v>243</v>
      </c>
      <c r="D17" s="331" t="s">
        <v>222</v>
      </c>
      <c r="E17" s="280" t="s">
        <v>130</v>
      </c>
      <c r="F17" s="280" t="s">
        <v>252</v>
      </c>
      <c r="G17" s="280" t="s">
        <v>253</v>
      </c>
      <c r="H17" s="313" t="s">
        <v>522</v>
      </c>
      <c r="I17" s="313" t="s">
        <v>230</v>
      </c>
      <c r="J17" s="313" t="s">
        <v>230</v>
      </c>
      <c r="K17" s="313" t="s">
        <v>230</v>
      </c>
      <c r="L17" s="313" t="s">
        <v>230</v>
      </c>
      <c r="M17" s="280" t="s">
        <v>121</v>
      </c>
      <c r="N17" s="316">
        <v>1</v>
      </c>
      <c r="O17" s="319" t="str">
        <f t="shared" ref="O17" si="5">IF(N17&lt;=0,"",IF(N17&lt;=2,"Muy Baja",IF(N17&lt;=24,"Baja",IF(N17&lt;=500,"Media",IF(N17&lt;=5000,"Alta","Muy Alta")))))</f>
        <v>Muy Baja</v>
      </c>
      <c r="P17" s="322">
        <f t="shared" ref="P17" si="6">IF(O17="","",IF(O17="Muy Baja",0.2,IF(O17="Baja",0.4,IF(O17="Media",0.6,IF(O17="Alta",0.8,IF(O17="Muy Alta",1,))))))</f>
        <v>0.2</v>
      </c>
      <c r="Q17" s="325" t="s">
        <v>148</v>
      </c>
      <c r="R17" s="322" t="str">
        <f>IF(NOT(ISERROR(MATCH(Q17,'Tabla Impacto'!$B$221:$B$223,0))),'Tabla Impacto'!$F$223&amp;"Por favor no seleccionar los criterios de impacto(Afectación Económica o presupuestal y Pérdida Reputacional)",Q17)</f>
        <v xml:space="preserve">     El riesgo afecta la imagen de alguna área de la organización</v>
      </c>
      <c r="S17" s="319" t="str">
        <f>IF(OR(R17='Tabla Impacto'!$C$11,R17='Tabla Impacto'!$D$11),"Leve",IF(OR(R17='Tabla Impacto'!$C$12,R17='Tabla Impacto'!$D$12),"Menor",IF(OR(R17='Tabla Impacto'!$C$13,R17='Tabla Impacto'!$D$13),"Moderado",IF(OR(R17='Tabla Impacto'!$C$14,R17='Tabla Impacto'!$D$14),"Mayor",IF(OR(R17='Tabla Impacto'!$C$15,R17='Tabla Impacto'!$D$15),"Catastrófico","")))))</f>
        <v>Leve</v>
      </c>
      <c r="T17" s="322">
        <f t="shared" ref="T17" si="7">IF(S17="","",IF(S17="Leve",0.2,IF(S17="Menor",0.4,IF(S17="Moderado",0.6,IF(S17="Mayor",0.8,IF(S17="Catastrófico",1,))))))</f>
        <v>0.2</v>
      </c>
      <c r="U17" s="340" t="str">
        <f t="shared" ref="U17" si="8">IF(OR(AND(O17="Muy Baja",S17="Leve"),AND(O17="Muy Baja",S17="Menor"),AND(O17="Baja",S17="Leve")),"Bajo",IF(OR(AND(O17="Muy baja",S17="Moderado"),AND(O17="Baja",S17="Menor"),AND(O17="Baja",S17="Moderado"),AND(O17="Media",S17="Leve"),AND(O17="Media",S17="Menor"),AND(O17="Media",S17="Moderado"),AND(O17="Alta",S17="Leve"),AND(O17="Alta",S17="Menor")),"Moderado",IF(OR(AND(O17="Muy Baja",S17="Mayor"),AND(O17="Baja",S17="Mayor"),AND(O17="Media",S17="Mayor"),AND(O17="Alta",S17="Moderado"),AND(O17="Alta",S17="Mayor"),AND(O17="Muy Alta",S17="Leve"),AND(O17="Muy Alta",S17="Menor"),AND(O17="Muy Alta",S17="Moderado"),AND(O17="Muy Alta",S17="Mayor")),"Alto",IF(OR(AND(O17="Muy Baja",S17="Catastrófico"),AND(O17="Baja",S17="Catastrófico"),AND(O17="Media",S17="Catastrófico"),AND(O17="Alta",S17="Catastrófico"),AND(O17="Muy Alta",S17="Catastrófico")),"Extremo",""))))</f>
        <v>Bajo</v>
      </c>
      <c r="V17" s="91">
        <v>1</v>
      </c>
      <c r="W17" s="103" t="s">
        <v>523</v>
      </c>
      <c r="X17" s="92" t="str">
        <f>IF(OR(Y17="Preventivo",Y17="Detectivo"),"Probabilidad",IF(Y17="Correctivo","Impacto",""))</f>
        <v>Probabilidad</v>
      </c>
      <c r="Y17" s="93" t="s">
        <v>14</v>
      </c>
      <c r="Z17" s="93" t="s">
        <v>10</v>
      </c>
      <c r="AA17" s="94" t="str">
        <f>IF(AND(Y17="Preventivo",Z17="Automático"),"50%",IF(AND(Y17="Preventivo",Z17="Manual"),"40%",IF(AND(Y17="Detectivo",Z17="Automático"),"40%",IF(AND(Y17="Detectivo",Z17="Manual"),"30%",IF(AND(Y17="Correctivo",Z17="Automático"),"35%",IF(AND(Y17="Correctivo",Z17="Manual"),"25%",""))))))</f>
        <v>50%</v>
      </c>
      <c r="AB17" s="93" t="s">
        <v>19</v>
      </c>
      <c r="AC17" s="93" t="s">
        <v>23</v>
      </c>
      <c r="AD17" s="93" t="s">
        <v>117</v>
      </c>
      <c r="AE17" s="181">
        <f>IFERROR(IF(X17="Probabilidad",(P17-(+P17*AA17)),IF(X17="Impacto",P17,"")),"")</f>
        <v>0.1</v>
      </c>
      <c r="AF17" s="95" t="str">
        <f>IFERROR(IF(AE17="","",IF(AE17&lt;=0.2,"Muy Baja",IF(AE17&lt;=0.4,"Baja",IF(AE17&lt;=0.6,"Media",IF(AE17&lt;=0.8,"Alta","Muy Alta"))))),"")</f>
        <v>Muy Baja</v>
      </c>
      <c r="AG17" s="96">
        <f>+AE17</f>
        <v>0.1</v>
      </c>
      <c r="AH17" s="95" t="str">
        <f>IFERROR(IF(AI17="","",IF(AI17&lt;=0.2,"Leve",IF(AI17&lt;=0.4,"Menor",IF(AI17&lt;=0.6,"Moderado",IF(AI17&lt;=0.8,"Mayor","Catastrófico"))))),"")</f>
        <v>Leve</v>
      </c>
      <c r="AI17" s="96">
        <f>IFERROR(IF(X17="Impacto",(T17-(+T17*AA17)),IF(X17="Probabilidad",T17,"")),"")</f>
        <v>0.2</v>
      </c>
      <c r="AJ17" s="97" t="str">
        <f>IFERROR(IF(OR(AND(AF17="Muy Baja",AH17="Leve"),AND(AF17="Muy Baja",AH17="Menor"),AND(AF17="Baja",AH17="Leve")),"Bajo",IF(OR(AND(AF17="Muy baja",AH17="Moderado"),AND(AF17="Baja",AH17="Menor"),AND(AF17="Baja",AH17="Moderado"),AND(AF17="Media",AH17="Leve"),AND(AF17="Media",AH17="Menor"),AND(AF17="Media",AH17="Moderado"),AND(AF17="Alta",AH17="Leve"),AND(AF17="Alta",AH17="Menor")),"Moderado",IF(OR(AND(AF17="Muy Baja",AH17="Mayor"),AND(AF17="Baja",AH17="Mayor"),AND(AF17="Media",AH17="Mayor"),AND(AF17="Alta",AH17="Moderado"),AND(AF17="Alta",AH17="Mayor"),AND(AF17="Muy Alta",AH17="Leve"),AND(AF17="Muy Alta",AH17="Menor"),AND(AF17="Muy Alta",AH17="Moderado"),AND(AF17="Muy Alta",AH17="Mayor")),"Alto",IF(OR(AND(AF17="Muy Baja",AH17="Catastrófico"),AND(AF17="Baja",AH17="Catastrófico"),AND(AF17="Media",AH17="Catastrófico"),AND(AF17="Alta",AH17="Catastrófico"),AND(AF17="Muy Alta",AH17="Catastrófico")),"Extremo","")))),"")</f>
        <v>Bajo</v>
      </c>
      <c r="AK17" s="398" t="s">
        <v>31</v>
      </c>
      <c r="AL17" s="280" t="s">
        <v>525</v>
      </c>
      <c r="AM17" s="342" t="s">
        <v>223</v>
      </c>
      <c r="AN17" s="280" t="s">
        <v>223</v>
      </c>
      <c r="AO17" s="342" t="s">
        <v>223</v>
      </c>
      <c r="AP17" s="342" t="s">
        <v>223</v>
      </c>
      <c r="AQ17" s="342" t="s">
        <v>223</v>
      </c>
      <c r="AR17" s="342" t="s">
        <v>223</v>
      </c>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row>
    <row r="18" spans="1:75" ht="51.75" customHeight="1" x14ac:dyDescent="0.3">
      <c r="A18" s="335"/>
      <c r="B18" s="332"/>
      <c r="C18" s="332"/>
      <c r="D18" s="332"/>
      <c r="E18" s="312"/>
      <c r="F18" s="312"/>
      <c r="G18" s="312"/>
      <c r="H18" s="314"/>
      <c r="I18" s="315"/>
      <c r="J18" s="315"/>
      <c r="K18" s="315"/>
      <c r="L18" s="315"/>
      <c r="M18" s="312"/>
      <c r="N18" s="318"/>
      <c r="O18" s="321"/>
      <c r="P18" s="324"/>
      <c r="Q18" s="327"/>
      <c r="R18" s="324"/>
      <c r="S18" s="321"/>
      <c r="T18" s="324"/>
      <c r="U18" s="341"/>
      <c r="V18" s="91">
        <v>2</v>
      </c>
      <c r="W18" s="103" t="s">
        <v>524</v>
      </c>
      <c r="X18" s="92" t="str">
        <f>IF(OR(Y18="Preventivo",Y18="Detectivo"),"Probabilidad",IF(Y18="Correctivo","Impacto",""))</f>
        <v>Probabilidad</v>
      </c>
      <c r="Y18" s="93" t="s">
        <v>14</v>
      </c>
      <c r="Z18" s="93" t="s">
        <v>10</v>
      </c>
      <c r="AA18" s="94" t="str">
        <f t="shared" ref="AA18" si="9">IF(AND(Y18="Preventivo",Z18="Automático"),"50%",IF(AND(Y18="Preventivo",Z18="Manual"),"40%",IF(AND(Y18="Detectivo",Z18="Automático"),"40%",IF(AND(Y18="Detectivo",Z18="Manual"),"30%",IF(AND(Y18="Correctivo",Z18="Automático"),"35%",IF(AND(Y18="Correctivo",Z18="Manual"),"25%",""))))))</f>
        <v>50%</v>
      </c>
      <c r="AB18" s="93" t="s">
        <v>19</v>
      </c>
      <c r="AC18" s="93" t="s">
        <v>23</v>
      </c>
      <c r="AD18" s="93" t="s">
        <v>117</v>
      </c>
      <c r="AE18" s="181">
        <f>IFERROR(IF(AND(X17="Probabilidad",X18="Probabilidad"),(AG17-(+AG17*AA18)),IF(X18="Probabilidad",(P17-(+P17*AA18)),IF(X18="Impacto",AG17,""))),"")</f>
        <v>0.05</v>
      </c>
      <c r="AF18" s="95" t="str">
        <f t="shared" ref="AF18" si="10">IFERROR(IF(AE18="","",IF(AE18&lt;=0.2,"Muy Baja",IF(AE18&lt;=0.4,"Baja",IF(AE18&lt;=0.6,"Media",IF(AE18&lt;=0.8,"Alta","Muy Alta"))))),"")</f>
        <v>Muy Baja</v>
      </c>
      <c r="AG18" s="96">
        <f t="shared" ref="AG18" si="11">+AE18</f>
        <v>0.05</v>
      </c>
      <c r="AH18" s="95" t="str">
        <f t="shared" ref="AH18" si="12">IFERROR(IF(AI18="","",IF(AI18&lt;=0.2,"Leve",IF(AI18&lt;=0.4,"Menor",IF(AI18&lt;=0.6,"Moderado",IF(AI18&lt;=0.8,"Mayor","Catastrófico"))))),"")</f>
        <v>Leve</v>
      </c>
      <c r="AI18" s="96">
        <f>IFERROR(IF(AND(X17="Impacto",X18="Impacto"),(AI17-(+AI17*AA18)),IF(X18="Impacto",($T$17-(+$T$17*AA18)),IF(X18="Probabilidad",AI17,""))),"")</f>
        <v>0.2</v>
      </c>
      <c r="AJ18" s="97" t="str">
        <f t="shared" ref="AJ18" si="13">IFERROR(IF(OR(AND(AF18="Muy Baja",AH18="Leve"),AND(AF18="Muy Baja",AH18="Menor"),AND(AF18="Baja",AH18="Leve")),"Bajo",IF(OR(AND(AF18="Muy baja",AH18="Moderado"),AND(AF18="Baja",AH18="Menor"),AND(AF18="Baja",AH18="Moderado"),AND(AF18="Media",AH18="Leve"),AND(AF18="Media",AH18="Menor"),AND(AF18="Media",AH18="Moderado"),AND(AF18="Alta",AH18="Leve"),AND(AF18="Alta",AH18="Menor")),"Moderado",IF(OR(AND(AF18="Muy Baja",AH18="Mayor"),AND(AF18="Baja",AH18="Mayor"),AND(AF18="Media",AH18="Mayor"),AND(AF18="Alta",AH18="Moderado"),AND(AF18="Alta",AH18="Mayor"),AND(AF18="Muy Alta",AH18="Leve"),AND(AF18="Muy Alta",AH18="Menor"),AND(AF18="Muy Alta",AH18="Moderado"),AND(AF18="Muy Alta",AH18="Mayor")),"Alto",IF(OR(AND(AF18="Muy Baja",AH18="Catastrófico"),AND(AF18="Baja",AH18="Catastrófico"),AND(AF18="Media",AH18="Catastrófico"),AND(AF18="Alta",AH18="Catastrófico"),AND(AF18="Muy Alta",AH18="Catastrófico")),"Extremo","")))),"")</f>
        <v>Bajo</v>
      </c>
      <c r="AK18" s="399"/>
      <c r="AL18" s="281"/>
      <c r="AM18" s="380"/>
      <c r="AN18" s="281"/>
      <c r="AO18" s="380"/>
      <c r="AP18" s="380"/>
      <c r="AQ18" s="380"/>
      <c r="AR18" s="380"/>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row>
    <row r="19" spans="1:75" ht="63" customHeight="1" x14ac:dyDescent="0.3">
      <c r="A19" s="334" t="s">
        <v>254</v>
      </c>
      <c r="B19" s="331" t="s">
        <v>255</v>
      </c>
      <c r="C19" s="331" t="s">
        <v>256</v>
      </c>
      <c r="D19" s="331" t="s">
        <v>222</v>
      </c>
      <c r="E19" s="280" t="s">
        <v>128</v>
      </c>
      <c r="F19" s="280" t="s">
        <v>257</v>
      </c>
      <c r="G19" s="280" t="s">
        <v>258</v>
      </c>
      <c r="H19" s="313" t="s">
        <v>259</v>
      </c>
      <c r="I19" s="313" t="s">
        <v>230</v>
      </c>
      <c r="J19" s="313" t="s">
        <v>230</v>
      </c>
      <c r="K19" s="313" t="s">
        <v>230</v>
      </c>
      <c r="L19" s="313" t="s">
        <v>230</v>
      </c>
      <c r="M19" s="280" t="s">
        <v>121</v>
      </c>
      <c r="N19" s="342">
        <v>48</v>
      </c>
      <c r="O19" s="319" t="str">
        <f>IF(N19&lt;=0,"",IF(N19&lt;=2,"Muy Baja",IF(N19&lt;=24,"Baja",IF(N19&lt;=500,"Media",IF(N19&lt;=5000,"Alta","Muy Alta")))))</f>
        <v>Media</v>
      </c>
      <c r="P19" s="322">
        <f>IF(O19="","",IF(O19="Muy Baja",0.2,IF(O19="Baja",0.4,IF(O19="Media",0.6,IF(O19="Alta",0.8,IF(O19="Muy Alta",1,))))))</f>
        <v>0.6</v>
      </c>
      <c r="Q19" s="325" t="s">
        <v>151</v>
      </c>
      <c r="R19" s="322" t="str">
        <f>IF(NOT(ISERROR(MATCH(Q19,'Tabla Impacto'!$B$221:$B$223,0))),'Tabla Impacto'!$F$223&amp;"Por favor no seleccionar los criterios de impacto(Afectación Económica o presupuestal y Pérdida Reputacional)",Q19)</f>
        <v xml:space="preserve">     El riesgo afecta la imagen de de la entidad con efecto publicitario sostenido a nivel de sector administrativo, nivel departamental o municipal</v>
      </c>
      <c r="S19" s="319" t="str">
        <f>IF(OR(R19='Tabla Impacto'!$C$11,R19='Tabla Impacto'!$D$11),"Leve",IF(OR(R19='Tabla Impacto'!$C$12,R19='Tabla Impacto'!$D$12),"Menor",IF(OR(R19='Tabla Impacto'!$C$13,R19='Tabla Impacto'!$D$13),"Moderado",IF(OR(R19='Tabla Impacto'!$C$14,R19='Tabla Impacto'!$D$14),"Mayor",IF(OR(R19='Tabla Impacto'!$C$15,R19='Tabla Impacto'!$D$15),"Catastrófico","")))))</f>
        <v>Mayor</v>
      </c>
      <c r="T19" s="322">
        <f>IF(S19="","",IF(S19="Leve",0.2,IF(S19="Menor",0.4,IF(S19="Moderado",0.6,IF(S19="Mayor",0.8,IF(S19="Catastrófico",1,))))))</f>
        <v>0.8</v>
      </c>
      <c r="U19" s="340" t="str">
        <f>IF(OR(AND(O19="Muy Baja",S19="Leve"),AND(O19="Muy Baja",S19="Menor"),AND(O19="Baja",S19="Leve")),"Bajo",IF(OR(AND(O19="Muy baja",S19="Moderado"),AND(O19="Baja",S19="Menor"),AND(O19="Baja",S19="Moderado"),AND(O19="Media",S19="Leve"),AND(O19="Media",S19="Menor"),AND(O19="Media",S19="Moderado"),AND(O19="Alta",S19="Leve"),AND(O19="Alta",S19="Menor")),"Moderado",IF(OR(AND(O19="Muy Baja",S19="Mayor"),AND(O19="Baja",S19="Mayor"),AND(O19="Media",S19="Mayor"),AND(O19="Alta",S19="Moderado"),AND(O19="Alta",S19="Mayor"),AND(O19="Muy Alta",S19="Leve"),AND(O19="Muy Alta",S19="Menor"),AND(O19="Muy Alta",S19="Moderado"),AND(O19="Muy Alta",S19="Mayor")),"Alto",IF(OR(AND(O19="Muy Baja",S19="Catastrófico"),AND(O19="Baja",S19="Catastrófico"),AND(O19="Media",S19="Catastrófico"),AND(O19="Alta",S19="Catastrófico"),AND(O19="Muy Alta",S19="Catastrófico")),"Extremo",""))))</f>
        <v>Alto</v>
      </c>
      <c r="V19" s="334">
        <v>1</v>
      </c>
      <c r="W19" s="337" t="s">
        <v>261</v>
      </c>
      <c r="X19" s="301" t="str">
        <f>IF(OR(Y19="Preventivo",Y19="Detectivo"),"Probabilidad",IF(Y19="Correctivo","Impacto",""))</f>
        <v>Probabilidad</v>
      </c>
      <c r="Y19" s="276" t="s">
        <v>14</v>
      </c>
      <c r="Z19" s="276" t="s">
        <v>9</v>
      </c>
      <c r="AA19" s="278" t="str">
        <f>IF(AND(Y19="Preventivo",Z19="Automático"),"50%",IF(AND(Y19="Preventivo",Z19="Manual"),"40%",IF(AND(Y19="Detectivo",Z19="Automático"),"40%",IF(AND(Y19="Detectivo",Z19="Manual"),"30%",IF(AND(Y19="Correctivo",Z19="Automático"),"35%",IF(AND(Y19="Correctivo",Z19="Manual"),"25%",""))))))</f>
        <v>40%</v>
      </c>
      <c r="AB19" s="276" t="s">
        <v>19</v>
      </c>
      <c r="AC19" s="276" t="s">
        <v>23</v>
      </c>
      <c r="AD19" s="276" t="s">
        <v>117</v>
      </c>
      <c r="AE19" s="298">
        <f>IFERROR(IF(X19="Probabilidad",(P19-(+P19*AA19)),IF(X19="Impacto",P19,"")),"")</f>
        <v>0.36</v>
      </c>
      <c r="AF19" s="282" t="str">
        <f>IFERROR(IF(AE19="","",IF(AE19&lt;=0.2,"Muy Baja",IF(AE19&lt;=0.4,"Baja",IF(AE19&lt;=0.6,"Media",IF(AE19&lt;=0.8,"Alta","Muy Alta"))))),"")</f>
        <v>Baja</v>
      </c>
      <c r="AG19" s="278">
        <f>+AE19</f>
        <v>0.36</v>
      </c>
      <c r="AH19" s="282" t="str">
        <f>IFERROR(IF(AI19="","",IF(AI19&lt;=0.2,"Leve",IF(AI19&lt;=0.4,"Menor",IF(AI19&lt;=0.6,"Moderado",IF(AI19&lt;=0.8,"Mayor","Catastrófico"))))),"")</f>
        <v>Mayor</v>
      </c>
      <c r="AI19" s="278">
        <f>IFERROR(IF(X19="Impacto",(T19-(+T19*AA19)),IF(X19="Probabilidad",T19,"")),"")</f>
        <v>0.8</v>
      </c>
      <c r="AJ19" s="284" t="str">
        <f>IFERROR(IF(OR(AND(AF19="Muy Baja",AH19="Leve"),AND(AF19="Muy Baja",AH19="Menor"),AND(AF19="Baja",AH19="Leve")),"Bajo",IF(OR(AND(AF19="Muy baja",AH19="Moderado"),AND(AF19="Baja",AH19="Menor"),AND(AF19="Baja",AH19="Moderado"),AND(AF19="Media",AH19="Leve"),AND(AF19="Media",AH19="Menor"),AND(AF19="Media",AH19="Moderado"),AND(AF19="Alta",AH19="Leve"),AND(AF19="Alta",AH19="Menor")),"Moderado",IF(OR(AND(AF19="Muy Baja",AH19="Mayor"),AND(AF19="Baja",AH19="Mayor"),AND(AF19="Media",AH19="Mayor"),AND(AF19="Alta",AH19="Moderado"),AND(AF19="Alta",AH19="Mayor"),AND(AF19="Muy Alta",AH19="Leve"),AND(AF19="Muy Alta",AH19="Menor"),AND(AF19="Muy Alta",AH19="Moderado"),AND(AF19="Muy Alta",AH19="Mayor")),"Alto",IF(OR(AND(AF19="Muy Baja",AH19="Catastrófico"),AND(AF19="Baja",AH19="Catastrófico"),AND(AF19="Media",AH19="Catastrófico"),AND(AF19="Alta",AH19="Catastrófico"),AND(AF19="Muy Alta",AH19="Catastrófico")),"Extremo","")))),"")</f>
        <v>Alto</v>
      </c>
      <c r="AK19" s="276" t="s">
        <v>132</v>
      </c>
      <c r="AL19" s="99" t="s">
        <v>310</v>
      </c>
      <c r="AM19" s="280" t="s">
        <v>262</v>
      </c>
      <c r="AN19" s="112" t="s">
        <v>271</v>
      </c>
      <c r="AO19" s="101">
        <v>44463</v>
      </c>
      <c r="AP19" s="99" t="s">
        <v>496</v>
      </c>
      <c r="AQ19" s="100" t="s">
        <v>41</v>
      </c>
      <c r="AR19" s="99" t="s">
        <v>497</v>
      </c>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row>
    <row r="20" spans="1:75" ht="63.75" customHeight="1" x14ac:dyDescent="0.3">
      <c r="A20" s="335"/>
      <c r="B20" s="332"/>
      <c r="C20" s="332"/>
      <c r="D20" s="332"/>
      <c r="E20" s="312"/>
      <c r="F20" s="312"/>
      <c r="G20" s="312"/>
      <c r="H20" s="314"/>
      <c r="I20" s="314"/>
      <c r="J20" s="314"/>
      <c r="K20" s="314"/>
      <c r="L20" s="314"/>
      <c r="M20" s="312"/>
      <c r="N20" s="343"/>
      <c r="O20" s="320"/>
      <c r="P20" s="323"/>
      <c r="Q20" s="326"/>
      <c r="R20" s="323">
        <f>IF(NOT(ISERROR(MATCH(Q20,_xlfn.ANCHORARRAY(H26),0))),#REF!&amp;"Por favor no seleccionar los criterios de impacto",Q20)</f>
        <v>0</v>
      </c>
      <c r="S20" s="320"/>
      <c r="T20" s="323"/>
      <c r="U20" s="349"/>
      <c r="V20" s="335"/>
      <c r="W20" s="338"/>
      <c r="X20" s="302"/>
      <c r="Y20" s="297"/>
      <c r="Z20" s="297"/>
      <c r="AA20" s="296"/>
      <c r="AB20" s="297"/>
      <c r="AC20" s="297"/>
      <c r="AD20" s="297"/>
      <c r="AE20" s="299"/>
      <c r="AF20" s="291"/>
      <c r="AG20" s="296"/>
      <c r="AH20" s="291"/>
      <c r="AI20" s="296"/>
      <c r="AJ20" s="292"/>
      <c r="AK20" s="297"/>
      <c r="AL20" s="99" t="s">
        <v>309</v>
      </c>
      <c r="AM20" s="312"/>
      <c r="AN20" s="112" t="s">
        <v>272</v>
      </c>
      <c r="AO20" s="101">
        <v>44463</v>
      </c>
      <c r="AP20" s="99" t="s">
        <v>505</v>
      </c>
      <c r="AQ20" s="100" t="s">
        <v>41</v>
      </c>
      <c r="AR20" s="99" t="s">
        <v>275</v>
      </c>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row>
    <row r="21" spans="1:75" ht="77.25" customHeight="1" x14ac:dyDescent="0.3">
      <c r="A21" s="335"/>
      <c r="B21" s="332"/>
      <c r="C21" s="332"/>
      <c r="D21" s="332"/>
      <c r="E21" s="312"/>
      <c r="F21" s="312"/>
      <c r="G21" s="312"/>
      <c r="H21" s="314"/>
      <c r="I21" s="314"/>
      <c r="J21" s="314"/>
      <c r="K21" s="314"/>
      <c r="L21" s="314"/>
      <c r="M21" s="312"/>
      <c r="N21" s="343"/>
      <c r="O21" s="320"/>
      <c r="P21" s="323"/>
      <c r="Q21" s="326"/>
      <c r="R21" s="323">
        <f>IF(NOT(ISERROR(MATCH(Q21,_xlfn.ANCHORARRAY(H27),0))),#REF!&amp;"Por favor no seleccionar los criterios de impacto",Q21)</f>
        <v>0</v>
      </c>
      <c r="S21" s="320"/>
      <c r="T21" s="323"/>
      <c r="U21" s="349"/>
      <c r="V21" s="335"/>
      <c r="W21" s="338"/>
      <c r="X21" s="302"/>
      <c r="Y21" s="297"/>
      <c r="Z21" s="297"/>
      <c r="AA21" s="296"/>
      <c r="AB21" s="297"/>
      <c r="AC21" s="297"/>
      <c r="AD21" s="297"/>
      <c r="AE21" s="299"/>
      <c r="AF21" s="291"/>
      <c r="AG21" s="296"/>
      <c r="AH21" s="291"/>
      <c r="AI21" s="296"/>
      <c r="AJ21" s="292"/>
      <c r="AK21" s="297"/>
      <c r="AL21" s="99" t="s">
        <v>308</v>
      </c>
      <c r="AM21" s="312"/>
      <c r="AN21" s="112" t="s">
        <v>273</v>
      </c>
      <c r="AO21" s="101">
        <v>44463</v>
      </c>
      <c r="AP21" s="99" t="s">
        <v>506</v>
      </c>
      <c r="AQ21" s="100" t="s">
        <v>41</v>
      </c>
      <c r="AR21" s="99" t="s">
        <v>276</v>
      </c>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row>
    <row r="22" spans="1:75" ht="53.25" customHeight="1" x14ac:dyDescent="0.3">
      <c r="A22" s="335"/>
      <c r="B22" s="332"/>
      <c r="C22" s="332"/>
      <c r="D22" s="332"/>
      <c r="E22" s="312"/>
      <c r="F22" s="312"/>
      <c r="G22" s="312"/>
      <c r="H22" s="314"/>
      <c r="I22" s="315"/>
      <c r="J22" s="315"/>
      <c r="K22" s="315"/>
      <c r="L22" s="315"/>
      <c r="M22" s="312"/>
      <c r="N22" s="343"/>
      <c r="O22" s="320"/>
      <c r="P22" s="323"/>
      <c r="Q22" s="326"/>
      <c r="R22" s="323">
        <f>IF(NOT(ISERROR(MATCH(Q22,_xlfn.ANCHORARRAY(#REF!),0))),#REF!&amp;"Por favor no seleccionar los criterios de impacto",Q22)</f>
        <v>0</v>
      </c>
      <c r="S22" s="320"/>
      <c r="T22" s="323"/>
      <c r="U22" s="349"/>
      <c r="V22" s="336"/>
      <c r="W22" s="339"/>
      <c r="X22" s="303"/>
      <c r="Y22" s="277"/>
      <c r="Z22" s="277"/>
      <c r="AA22" s="279"/>
      <c r="AB22" s="277"/>
      <c r="AC22" s="277"/>
      <c r="AD22" s="277"/>
      <c r="AE22" s="300"/>
      <c r="AF22" s="283"/>
      <c r="AG22" s="279"/>
      <c r="AH22" s="283"/>
      <c r="AI22" s="279"/>
      <c r="AJ22" s="285"/>
      <c r="AK22" s="277"/>
      <c r="AL22" s="99" t="s">
        <v>507</v>
      </c>
      <c r="AM22" s="281"/>
      <c r="AN22" s="112" t="s">
        <v>274</v>
      </c>
      <c r="AO22" s="101">
        <v>44463</v>
      </c>
      <c r="AP22" s="99" t="s">
        <v>508</v>
      </c>
      <c r="AQ22" s="100" t="s">
        <v>41</v>
      </c>
      <c r="AR22" s="99" t="s">
        <v>277</v>
      </c>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row>
    <row r="23" spans="1:75" ht="57.75" customHeight="1" x14ac:dyDescent="0.3">
      <c r="A23" s="334" t="s">
        <v>263</v>
      </c>
      <c r="B23" s="331" t="s">
        <v>264</v>
      </c>
      <c r="C23" s="331" t="s">
        <v>265</v>
      </c>
      <c r="D23" s="331" t="s">
        <v>222</v>
      </c>
      <c r="E23" s="280" t="s">
        <v>130</v>
      </c>
      <c r="F23" s="280" t="s">
        <v>266</v>
      </c>
      <c r="G23" s="280" t="s">
        <v>267</v>
      </c>
      <c r="H23" s="313" t="s">
        <v>268</v>
      </c>
      <c r="I23" s="313" t="s">
        <v>230</v>
      </c>
      <c r="J23" s="313" t="s">
        <v>230</v>
      </c>
      <c r="K23" s="313" t="s">
        <v>230</v>
      </c>
      <c r="L23" s="313" t="s">
        <v>230</v>
      </c>
      <c r="M23" s="280" t="s">
        <v>121</v>
      </c>
      <c r="N23" s="342">
        <v>43</v>
      </c>
      <c r="O23" s="319" t="str">
        <f>IF(N23&lt;=0,"",IF(N23&lt;=2,"Muy Baja",IF(N23&lt;=24,"Baja",IF(N23&lt;=500,"Media",IF(N23&lt;=5000,"Alta","Muy Alta")))))</f>
        <v>Media</v>
      </c>
      <c r="P23" s="322">
        <f>IF(O23="","",IF(O23="Muy Baja",0.2,IF(O23="Baja",0.4,IF(O23="Media",0.6,IF(O23="Alta",0.8,IF(O23="Muy Alta",1,))))))</f>
        <v>0.6</v>
      </c>
      <c r="Q23" s="325" t="s">
        <v>148</v>
      </c>
      <c r="R23" s="322" t="str">
        <f>IF(NOT(ISERROR(MATCH(Q23,'Tabla Impacto'!$B$221:$B$223,0))),'Tabla Impacto'!$F$223&amp;"Por favor no seleccionar los criterios de impacto(Afectación Económica o presupuestal y Pérdida Reputacional)",Q23)</f>
        <v xml:space="preserve">     El riesgo afecta la imagen de alguna área de la organización</v>
      </c>
      <c r="S23" s="319" t="str">
        <f>IF(OR(R23='Tabla Impacto'!$C$11,R23='Tabla Impacto'!$D$11),"Leve",IF(OR(R23='Tabla Impacto'!$C$12,R23='Tabla Impacto'!$D$12),"Menor",IF(OR(R23='Tabla Impacto'!$C$13,R23='Tabla Impacto'!$D$13),"Moderado",IF(OR(R23='Tabla Impacto'!$C$14,R23='Tabla Impacto'!$D$14),"Mayor",IF(OR(R23='Tabla Impacto'!$C$15,R23='Tabla Impacto'!$D$15),"Catastrófico","")))))</f>
        <v>Leve</v>
      </c>
      <c r="T23" s="322">
        <f>IF(S23="","",IF(S23="Leve",0.2,IF(S23="Menor",0.4,IF(S23="Moderado",0.6,IF(S23="Mayor",0.8,IF(S23="Catastrófico",1,))))))</f>
        <v>0.2</v>
      </c>
      <c r="U23" s="340" t="str">
        <f>IF(OR(AND(O23="Muy Baja",S23="Leve"),AND(O23="Muy Baja",S23="Menor"),AND(O23="Baja",S23="Leve")),"Bajo",IF(OR(AND(O23="Muy baja",S23="Moderado"),AND(O23="Baja",S23="Menor"),AND(O23="Baja",S23="Moderado"),AND(O23="Media",S23="Leve"),AND(O23="Media",S23="Menor"),AND(O23="Media",S23="Moderado"),AND(O23="Alta",S23="Leve"),AND(O23="Alta",S23="Menor")),"Moderado",IF(OR(AND(O23="Muy Baja",S23="Mayor"),AND(O23="Baja",S23="Mayor"),AND(O23="Media",S23="Mayor"),AND(O23="Alta",S23="Moderado"),AND(O23="Alta",S23="Mayor"),AND(O23="Muy Alta",S23="Leve"),AND(O23="Muy Alta",S23="Menor"),AND(O23="Muy Alta",S23="Moderado"),AND(O23="Muy Alta",S23="Mayor")),"Alto",IF(OR(AND(O23="Muy Baja",S23="Catastrófico"),AND(O23="Baja",S23="Catastrófico"),AND(O23="Media",S23="Catastrófico"),AND(O23="Alta",S23="Catastrófico"),AND(O23="Muy Alta",S23="Catastrófico")),"Extremo",""))))</f>
        <v>Moderado</v>
      </c>
      <c r="V23" s="334">
        <v>1</v>
      </c>
      <c r="W23" s="337" t="s">
        <v>269</v>
      </c>
      <c r="X23" s="301" t="str">
        <f t="shared" ref="X23:X25" si="14">IF(OR(Y23="Preventivo",Y23="Detectivo"),"Probabilidad",IF(Y23="Correctivo","Impacto",""))</f>
        <v>Impacto</v>
      </c>
      <c r="Y23" s="276" t="s">
        <v>16</v>
      </c>
      <c r="Z23" s="276" t="s">
        <v>9</v>
      </c>
      <c r="AA23" s="278" t="str">
        <f t="shared" ref="AA23:AA25" si="15">IF(AND(Y23="Preventivo",Z23="Automático"),"50%",IF(AND(Y23="Preventivo",Z23="Manual"),"40%",IF(AND(Y23="Detectivo",Z23="Automático"),"40%",IF(AND(Y23="Detectivo",Z23="Manual"),"30%",IF(AND(Y23="Correctivo",Z23="Automático"),"35%",IF(AND(Y23="Correctivo",Z23="Manual"),"25%",""))))))</f>
        <v>25%</v>
      </c>
      <c r="AB23" s="276" t="s">
        <v>19</v>
      </c>
      <c r="AC23" s="276" t="s">
        <v>23</v>
      </c>
      <c r="AD23" s="276" t="s">
        <v>117</v>
      </c>
      <c r="AE23" s="298">
        <f t="shared" ref="AE23:AE25" si="16">IFERROR(IF(X23="Probabilidad",(P23-(+P23*AA23)),IF(X23="Impacto",P23,"")),"")</f>
        <v>0.6</v>
      </c>
      <c r="AF23" s="282" t="str">
        <f t="shared" ref="AF23:AF25" si="17">IFERROR(IF(AE23="","",IF(AE23&lt;=0.2,"Muy Baja",IF(AE23&lt;=0.4,"Baja",IF(AE23&lt;=0.6,"Media",IF(AE23&lt;=0.8,"Alta","Muy Alta"))))),"")</f>
        <v>Media</v>
      </c>
      <c r="AG23" s="278">
        <f t="shared" ref="AG23:AG25" si="18">+AE23</f>
        <v>0.6</v>
      </c>
      <c r="AH23" s="282" t="str">
        <f t="shared" ref="AH23" si="19">IFERROR(IF(AI23="","",IF(AI23&lt;=0.2,"Leve",IF(AI23&lt;=0.4,"Menor",IF(AI23&lt;=0.6,"Moderado",IF(AI23&lt;=0.8,"Mayor","Catastrófico"))))),"")</f>
        <v>Leve</v>
      </c>
      <c r="AI23" s="278">
        <f t="shared" ref="AI23" si="20">IFERROR(IF(X23="Impacto",(T23-(+T23*AA23)),IF(X23="Probabilidad",T23,"")),"")</f>
        <v>0.15000000000000002</v>
      </c>
      <c r="AJ23" s="284" t="str">
        <f t="shared" ref="AJ23" si="21">IFERROR(IF(OR(AND(AF23="Muy Baja",AH23="Leve"),AND(AF23="Muy Baja",AH23="Menor"),AND(AF23="Baja",AH23="Leve")),"Bajo",IF(OR(AND(AF23="Muy baja",AH23="Moderado"),AND(AF23="Baja",AH23="Menor"),AND(AF23="Baja",AH23="Moderado"),AND(AF23="Media",AH23="Leve"),AND(AF23="Media",AH23="Menor"),AND(AF23="Media",AH23="Moderado"),AND(AF23="Alta",AH23="Leve"),AND(AF23="Alta",AH23="Menor")),"Moderado",IF(OR(AND(AF23="Muy Baja",AH23="Mayor"),AND(AF23="Baja",AH23="Mayor"),AND(AF23="Media",AH23="Mayor"),AND(AF23="Alta",AH23="Moderado"),AND(AF23="Alta",AH23="Mayor"),AND(AF23="Muy Alta",AH23="Leve"),AND(AF23="Muy Alta",AH23="Menor"),AND(AF23="Muy Alta",AH23="Moderado"),AND(AF23="Muy Alta",AH23="Mayor")),"Alto",IF(OR(AND(AF23="Muy Baja",AH23="Catastrófico"),AND(AF23="Baja",AH23="Catastrófico"),AND(AF23="Media",AH23="Catastrófico"),AND(AF23="Alta",AH23="Catastrófico"),AND(AF23="Muy Alta",AH23="Catastrófico")),"Extremo","")))),"")</f>
        <v>Moderado</v>
      </c>
      <c r="AK23" s="276" t="s">
        <v>132</v>
      </c>
      <c r="AL23" s="99" t="s">
        <v>307</v>
      </c>
      <c r="AM23" s="280" t="s">
        <v>270</v>
      </c>
      <c r="AN23" s="112" t="s">
        <v>280</v>
      </c>
      <c r="AO23" s="101">
        <v>44510</v>
      </c>
      <c r="AP23" s="99" t="s">
        <v>542</v>
      </c>
      <c r="AQ23" s="100" t="s">
        <v>40</v>
      </c>
      <c r="AR23" s="99" t="s">
        <v>281</v>
      </c>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row>
    <row r="24" spans="1:75" ht="74.25" customHeight="1" x14ac:dyDescent="0.3">
      <c r="A24" s="335"/>
      <c r="B24" s="332"/>
      <c r="C24" s="332"/>
      <c r="D24" s="332"/>
      <c r="E24" s="312"/>
      <c r="F24" s="312"/>
      <c r="G24" s="312"/>
      <c r="H24" s="314"/>
      <c r="I24" s="314"/>
      <c r="J24" s="314"/>
      <c r="K24" s="314"/>
      <c r="L24" s="314"/>
      <c r="M24" s="312"/>
      <c r="N24" s="343"/>
      <c r="O24" s="320"/>
      <c r="P24" s="323"/>
      <c r="Q24" s="326"/>
      <c r="R24" s="323">
        <f>IF(NOT(ISERROR(MATCH(Q24,_xlfn.ANCHORARRAY(H28),0))),#REF!&amp;"Por favor no seleccionar los criterios de impacto",Q24)</f>
        <v>0</v>
      </c>
      <c r="S24" s="320"/>
      <c r="T24" s="323"/>
      <c r="U24" s="349"/>
      <c r="V24" s="335"/>
      <c r="W24" s="338"/>
      <c r="X24" s="302" t="str">
        <f t="shared" si="14"/>
        <v>Probabilidad</v>
      </c>
      <c r="Y24" s="297" t="s">
        <v>14</v>
      </c>
      <c r="Z24" s="297" t="s">
        <v>9</v>
      </c>
      <c r="AA24" s="296" t="str">
        <f t="shared" si="15"/>
        <v>40%</v>
      </c>
      <c r="AB24" s="297" t="s">
        <v>19</v>
      </c>
      <c r="AC24" s="297" t="s">
        <v>22</v>
      </c>
      <c r="AD24" s="297" t="s">
        <v>117</v>
      </c>
      <c r="AE24" s="299">
        <f t="shared" si="16"/>
        <v>0</v>
      </c>
      <c r="AF24" s="291" t="str">
        <f t="shared" si="17"/>
        <v>Muy Baja</v>
      </c>
      <c r="AG24" s="296">
        <f t="shared" si="18"/>
        <v>0</v>
      </c>
      <c r="AH24" s="291"/>
      <c r="AI24" s="296"/>
      <c r="AJ24" s="292"/>
      <c r="AK24" s="297"/>
      <c r="AL24" s="99" t="s">
        <v>306</v>
      </c>
      <c r="AM24" s="312"/>
      <c r="AN24" s="112" t="s">
        <v>278</v>
      </c>
      <c r="AO24" s="101">
        <v>44510</v>
      </c>
      <c r="AP24" s="99" t="s">
        <v>543</v>
      </c>
      <c r="AQ24" s="100" t="s">
        <v>40</v>
      </c>
      <c r="AR24" s="99" t="s">
        <v>282</v>
      </c>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row>
    <row r="25" spans="1:75" ht="42.75" customHeight="1" x14ac:dyDescent="0.3">
      <c r="A25" s="335"/>
      <c r="B25" s="332"/>
      <c r="C25" s="332"/>
      <c r="D25" s="332"/>
      <c r="E25" s="312"/>
      <c r="F25" s="312"/>
      <c r="G25" s="312"/>
      <c r="H25" s="314"/>
      <c r="I25" s="315"/>
      <c r="J25" s="315"/>
      <c r="K25" s="315"/>
      <c r="L25" s="315"/>
      <c r="M25" s="312"/>
      <c r="N25" s="343"/>
      <c r="O25" s="320"/>
      <c r="P25" s="323"/>
      <c r="Q25" s="326"/>
      <c r="R25" s="323">
        <f>IF(NOT(ISERROR(MATCH(Q25,_xlfn.ANCHORARRAY(H29),0))),#REF!&amp;"Por favor no seleccionar los criterios de impacto",Q25)</f>
        <v>0</v>
      </c>
      <c r="S25" s="320"/>
      <c r="T25" s="323"/>
      <c r="U25" s="349"/>
      <c r="V25" s="336"/>
      <c r="W25" s="339"/>
      <c r="X25" s="303" t="str">
        <f t="shared" si="14"/>
        <v>Probabilidad</v>
      </c>
      <c r="Y25" s="277" t="s">
        <v>14</v>
      </c>
      <c r="Z25" s="277" t="s">
        <v>9</v>
      </c>
      <c r="AA25" s="279" t="str">
        <f t="shared" si="15"/>
        <v>40%</v>
      </c>
      <c r="AB25" s="277" t="s">
        <v>19</v>
      </c>
      <c r="AC25" s="277" t="s">
        <v>22</v>
      </c>
      <c r="AD25" s="277" t="s">
        <v>117</v>
      </c>
      <c r="AE25" s="300">
        <f t="shared" si="16"/>
        <v>0</v>
      </c>
      <c r="AF25" s="283" t="str">
        <f t="shared" si="17"/>
        <v>Muy Baja</v>
      </c>
      <c r="AG25" s="279">
        <f t="shared" si="18"/>
        <v>0</v>
      </c>
      <c r="AH25" s="283"/>
      <c r="AI25" s="279"/>
      <c r="AJ25" s="285"/>
      <c r="AK25" s="277"/>
      <c r="AL25" s="99" t="s">
        <v>305</v>
      </c>
      <c r="AM25" s="281"/>
      <c r="AN25" s="112" t="s">
        <v>279</v>
      </c>
      <c r="AO25" s="101">
        <v>44510</v>
      </c>
      <c r="AP25" s="99" t="s">
        <v>544</v>
      </c>
      <c r="AQ25" s="100" t="s">
        <v>41</v>
      </c>
      <c r="AR25" s="99" t="s">
        <v>283</v>
      </c>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row>
    <row r="26" spans="1:75" ht="60" customHeight="1" x14ac:dyDescent="0.3">
      <c r="A26" s="334" t="s">
        <v>284</v>
      </c>
      <c r="B26" s="334" t="s">
        <v>285</v>
      </c>
      <c r="C26" s="331" t="s">
        <v>286</v>
      </c>
      <c r="D26" s="331" t="s">
        <v>222</v>
      </c>
      <c r="E26" s="280" t="s">
        <v>130</v>
      </c>
      <c r="F26" s="280" t="s">
        <v>512</v>
      </c>
      <c r="G26" s="280" t="s">
        <v>287</v>
      </c>
      <c r="H26" s="313" t="s">
        <v>511</v>
      </c>
      <c r="I26" s="313" t="s">
        <v>230</v>
      </c>
      <c r="J26" s="313" t="s">
        <v>230</v>
      </c>
      <c r="K26" s="313" t="s">
        <v>230</v>
      </c>
      <c r="L26" s="313" t="s">
        <v>230</v>
      </c>
      <c r="M26" s="280" t="s">
        <v>121</v>
      </c>
      <c r="N26" s="316">
        <v>24</v>
      </c>
      <c r="O26" s="319" t="str">
        <f t="shared" ref="O26" si="22">IF(N26&lt;=0,"",IF(N26&lt;=2,"Muy Baja",IF(N26&lt;=24,"Baja",IF(N26&lt;=500,"Media",IF(N26&lt;=5000,"Alta","Muy Alta")))))</f>
        <v>Baja</v>
      </c>
      <c r="P26" s="322">
        <f t="shared" ref="P26" si="23">IF(O26="","",IF(O26="Muy Baja",0.2,IF(O26="Baja",0.4,IF(O26="Media",0.6,IF(O26="Alta",0.8,IF(O26="Muy Alta",1,))))))</f>
        <v>0.4</v>
      </c>
      <c r="Q26" s="325" t="s">
        <v>150</v>
      </c>
      <c r="R26" s="322" t="str">
        <f>IF(NOT(ISERROR(MATCH(Q26,'Tabla Impacto'!$B$221:$B$223,0))),'Tabla Impacto'!$F$223&amp;"Por favor no seleccionar los criterios de impacto(Afectación Económica o presupuestal y Pérdida Reputacional)",Q26)</f>
        <v xml:space="preserve">     El riesgo afecta la imagen de la entidad con algunos usuarios de relevancia frente al logro de los objetivos</v>
      </c>
      <c r="S26" s="319" t="str">
        <f>IF(OR(R26='Tabla Impacto'!$C$11,R26='Tabla Impacto'!$D$11),"Leve",IF(OR(R26='Tabla Impacto'!$C$12,R26='Tabla Impacto'!$D$12),"Menor",IF(OR(R26='Tabla Impacto'!$C$13,R26='Tabla Impacto'!$D$13),"Moderado",IF(OR(R26='Tabla Impacto'!$C$14,R26='Tabla Impacto'!$D$14),"Mayor",IF(OR(R26='Tabla Impacto'!$C$15,R26='Tabla Impacto'!$D$15),"Catastrófico","")))))</f>
        <v>Moderado</v>
      </c>
      <c r="T26" s="322">
        <f t="shared" ref="T26" si="24">IF(S26="","",IF(S26="Leve",0.2,IF(S26="Menor",0.4,IF(S26="Moderado",0.6,IF(S26="Mayor",0.8,IF(S26="Catastrófico",1,))))))</f>
        <v>0.6</v>
      </c>
      <c r="U26" s="340" t="str">
        <f t="shared" ref="U26" si="25">IF(OR(AND(O26="Muy Baja",S26="Leve"),AND(O26="Muy Baja",S26="Menor"),AND(O26="Baja",S26="Leve")),"Bajo",IF(OR(AND(O26="Muy baja",S26="Moderado"),AND(O26="Baja",S26="Menor"),AND(O26="Baja",S26="Moderado"),AND(O26="Media",S26="Leve"),AND(O26="Media",S26="Menor"),AND(O26="Media",S26="Moderado"),AND(O26="Alta",S26="Leve"),AND(O26="Alta",S26="Menor")),"Moderado",IF(OR(AND(O26="Muy Baja",S26="Mayor"),AND(O26="Baja",S26="Mayor"),AND(O26="Media",S26="Mayor"),AND(O26="Alta",S26="Moderado"),AND(O26="Alta",S26="Mayor"),AND(O26="Muy Alta",S26="Leve"),AND(O26="Muy Alta",S26="Menor"),AND(O26="Muy Alta",S26="Moderado"),AND(O26="Muy Alta",S26="Mayor")),"Alto",IF(OR(AND(O26="Muy Baja",S26="Catastrófico"),AND(O26="Baja",S26="Catastrófico"),AND(O26="Media",S26="Catastrófico"),AND(O26="Alta",S26="Catastrófico"),AND(O26="Muy Alta",S26="Catastrófico")),"Extremo",""))))</f>
        <v>Moderado</v>
      </c>
      <c r="V26" s="334">
        <v>1</v>
      </c>
      <c r="W26" s="337" t="s">
        <v>513</v>
      </c>
      <c r="X26" s="301" t="str">
        <f t="shared" ref="X26:X35" si="26">IF(OR(Y26="Preventivo",Y26="Detectivo"),"Probabilidad",IF(Y26="Correctivo","Impacto",""))</f>
        <v>Probabilidad</v>
      </c>
      <c r="Y26" s="276" t="s">
        <v>14</v>
      </c>
      <c r="Z26" s="276" t="s">
        <v>9</v>
      </c>
      <c r="AA26" s="278" t="str">
        <f>IF(AND(Y26="Preventivo",Z26="Automático"),"50%",IF(AND(Y26="Preventivo",Z26="Manual"),"40%",IF(AND(Y26="Detectivo",Z26="Automático"),"40%",IF(AND(Y26="Detectivo",Z26="Manual"),"30%",IF(AND(Y26="Correctivo",Z26="Automático"),"35%",IF(AND(Y26="Correctivo",Z26="Manual"),"25%",""))))))</f>
        <v>40%</v>
      </c>
      <c r="AB26" s="276" t="s">
        <v>19</v>
      </c>
      <c r="AC26" s="276" t="s">
        <v>22</v>
      </c>
      <c r="AD26" s="276" t="s">
        <v>117</v>
      </c>
      <c r="AE26" s="298">
        <f>IFERROR(IF(X26="Probabilidad",(P26-(+P26*AA26)),IF(X26="Impacto",P26,"")),"")</f>
        <v>0.24</v>
      </c>
      <c r="AF26" s="282" t="str">
        <f>IFERROR(IF(AE26="","",IF(AE26&lt;=0.2,"Muy Baja",IF(AE26&lt;=0.4,"Baja",IF(AE26&lt;=0.6,"Media",IF(AE26&lt;=0.8,"Alta","Muy Alta"))))),"")</f>
        <v>Baja</v>
      </c>
      <c r="AG26" s="278">
        <f>+AE26</f>
        <v>0.24</v>
      </c>
      <c r="AH26" s="282" t="str">
        <f>IFERROR(IF(AI26="","",IF(AI26&lt;=0.2,"Leve",IF(AI26&lt;=0.4,"Menor",IF(AI26&lt;=0.6,"Moderado",IF(AI26&lt;=0.8,"Mayor","Catastrófico"))))),"")</f>
        <v>Moderado</v>
      </c>
      <c r="AI26" s="278">
        <f>IFERROR(IF(X26="Impacto",(T26-(+T26*AA26)),IF(X26="Probabilidad",T26,"")),"")</f>
        <v>0.6</v>
      </c>
      <c r="AJ26" s="284" t="str">
        <f>IFERROR(IF(OR(AND(AF26="Muy Baja",AH26="Leve"),AND(AF26="Muy Baja",AH26="Menor"),AND(AF26="Baja",AH26="Leve")),"Bajo",IF(OR(AND(AF26="Muy baja",AH26="Moderado"),AND(AF26="Baja",AH26="Menor"),AND(AF26="Baja",AH26="Moderado"),AND(AF26="Media",AH26="Leve"),AND(AF26="Media",AH26="Menor"),AND(AF26="Media",AH26="Moderado"),AND(AF26="Alta",AH26="Leve"),AND(AF26="Alta",AH26="Menor")),"Moderado",IF(OR(AND(AF26="Muy Baja",AH26="Mayor"),AND(AF26="Baja",AH26="Mayor"),AND(AF26="Media",AH26="Mayor"),AND(AF26="Alta",AH26="Moderado"),AND(AF26="Alta",AH26="Mayor"),AND(AF26="Muy Alta",AH26="Leve"),AND(AF26="Muy Alta",AH26="Menor"),AND(AF26="Muy Alta",AH26="Moderado"),AND(AF26="Muy Alta",AH26="Mayor")),"Alto",IF(OR(AND(AF26="Muy Baja",AH26="Catastrófico"),AND(AF26="Baja",AH26="Catastrófico"),AND(AF26="Media",AH26="Catastrófico"),AND(AF26="Alta",AH26="Catastrófico"),AND(AF26="Muy Alta",AH26="Catastrófico")),"Extremo","")))),"")</f>
        <v>Moderado</v>
      </c>
      <c r="AK26" s="276" t="s">
        <v>132</v>
      </c>
      <c r="AL26" s="99" t="s">
        <v>289</v>
      </c>
      <c r="AM26" s="280" t="s">
        <v>290</v>
      </c>
      <c r="AN26" s="112" t="s">
        <v>292</v>
      </c>
      <c r="AO26" s="112">
        <v>44496</v>
      </c>
      <c r="AP26" s="99" t="s">
        <v>514</v>
      </c>
      <c r="AQ26" s="100" t="s">
        <v>41</v>
      </c>
      <c r="AR26" s="99" t="s">
        <v>293</v>
      </c>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row>
    <row r="27" spans="1:75" ht="66.75" customHeight="1" x14ac:dyDescent="0.3">
      <c r="A27" s="335"/>
      <c r="B27" s="335"/>
      <c r="C27" s="332"/>
      <c r="D27" s="332"/>
      <c r="E27" s="312"/>
      <c r="F27" s="312"/>
      <c r="G27" s="312"/>
      <c r="H27" s="314"/>
      <c r="I27" s="315"/>
      <c r="J27" s="315"/>
      <c r="K27" s="315"/>
      <c r="L27" s="315"/>
      <c r="M27" s="312"/>
      <c r="N27" s="318"/>
      <c r="O27" s="321"/>
      <c r="P27" s="324"/>
      <c r="Q27" s="327"/>
      <c r="R27" s="324"/>
      <c r="S27" s="321"/>
      <c r="T27" s="324"/>
      <c r="U27" s="341"/>
      <c r="V27" s="336"/>
      <c r="W27" s="339"/>
      <c r="X27" s="303"/>
      <c r="Y27" s="277"/>
      <c r="Z27" s="277"/>
      <c r="AA27" s="279"/>
      <c r="AB27" s="277"/>
      <c r="AC27" s="277"/>
      <c r="AD27" s="277"/>
      <c r="AE27" s="300"/>
      <c r="AF27" s="283"/>
      <c r="AG27" s="279"/>
      <c r="AH27" s="283"/>
      <c r="AI27" s="279"/>
      <c r="AJ27" s="285"/>
      <c r="AK27" s="277"/>
      <c r="AL27" s="99" t="s">
        <v>288</v>
      </c>
      <c r="AM27" s="281"/>
      <c r="AN27" s="112" t="s">
        <v>291</v>
      </c>
      <c r="AO27" s="112">
        <v>44496</v>
      </c>
      <c r="AP27" s="99" t="s">
        <v>515</v>
      </c>
      <c r="AQ27" s="100" t="s">
        <v>41</v>
      </c>
      <c r="AR27" s="99" t="s">
        <v>294</v>
      </c>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row>
    <row r="28" spans="1:75" ht="61.5" customHeight="1" x14ac:dyDescent="0.3">
      <c r="A28" s="334" t="s">
        <v>295</v>
      </c>
      <c r="B28" s="334" t="s">
        <v>285</v>
      </c>
      <c r="C28" s="331" t="s">
        <v>286</v>
      </c>
      <c r="D28" s="331" t="s">
        <v>222</v>
      </c>
      <c r="E28" s="280" t="s">
        <v>130</v>
      </c>
      <c r="F28" s="280" t="s">
        <v>297</v>
      </c>
      <c r="G28" s="280" t="s">
        <v>298</v>
      </c>
      <c r="H28" s="313" t="s">
        <v>296</v>
      </c>
      <c r="I28" s="313" t="s">
        <v>230</v>
      </c>
      <c r="J28" s="313" t="s">
        <v>230</v>
      </c>
      <c r="K28" s="313" t="s">
        <v>230</v>
      </c>
      <c r="L28" s="313" t="s">
        <v>230</v>
      </c>
      <c r="M28" s="280" t="s">
        <v>121</v>
      </c>
      <c r="N28" s="342">
        <v>300</v>
      </c>
      <c r="O28" s="319" t="str">
        <f>IF(N28&lt;=0,"",IF(N28&lt;=2,"Muy Baja",IF(N28&lt;=24,"Baja",IF(N28&lt;=500,"Media",IF(N28&lt;=5000,"Alta","Muy Alta")))))</f>
        <v>Media</v>
      </c>
      <c r="P28" s="322">
        <f>IF(O28="","",IF(O28="Muy Baja",0.2,IF(O28="Baja",0.4,IF(O28="Media",0.6,IF(O28="Alta",0.8,IF(O28="Muy Alta",1,))))))</f>
        <v>0.6</v>
      </c>
      <c r="Q28" s="325" t="s">
        <v>150</v>
      </c>
      <c r="R28" s="322" t="str">
        <f>IF(NOT(ISERROR(MATCH(Q28,'Tabla Impacto'!$B$221:$B$223,0))),'Tabla Impacto'!$F$223&amp;"Por favor no seleccionar los criterios de impacto(Afectación Económica o presupuestal y Pérdida Reputacional)",Q28)</f>
        <v xml:space="preserve">     El riesgo afecta la imagen de la entidad con algunos usuarios de relevancia frente al logro de los objetivos</v>
      </c>
      <c r="S28" s="319" t="str">
        <f>IF(OR(R28='Tabla Impacto'!$C$11,R28='Tabla Impacto'!$D$11),"Leve",IF(OR(R28='Tabla Impacto'!$C$12,R28='Tabla Impacto'!$D$12),"Menor",IF(OR(R28='Tabla Impacto'!$C$13,R28='Tabla Impacto'!$D$13),"Moderado",IF(OR(R28='Tabla Impacto'!$C$14,R28='Tabla Impacto'!$D$14),"Mayor",IF(OR(R28='Tabla Impacto'!$C$15,R28='Tabla Impacto'!$D$15),"Catastrófico","")))))</f>
        <v>Moderado</v>
      </c>
      <c r="T28" s="322">
        <f>IF(S28="","",IF(S28="Leve",0.2,IF(S28="Menor",0.4,IF(S28="Moderado",0.6,IF(S28="Mayor",0.8,IF(S28="Catastrófico",1,))))))</f>
        <v>0.6</v>
      </c>
      <c r="U28" s="340" t="str">
        <f>IF(OR(AND(O28="Muy Baja",S28="Leve"),AND(O28="Muy Baja",S28="Menor"),AND(O28="Baja",S28="Leve")),"Bajo",IF(OR(AND(O28="Muy baja",S28="Moderado"),AND(O28="Baja",S28="Menor"),AND(O28="Baja",S28="Moderado"),AND(O28="Media",S28="Leve"),AND(O28="Media",S28="Menor"),AND(O28="Media",S28="Moderado"),AND(O28="Alta",S28="Leve"),AND(O28="Alta",S28="Menor")),"Moderado",IF(OR(AND(O28="Muy Baja",S28="Mayor"),AND(O28="Baja",S28="Mayor"),AND(O28="Media",S28="Mayor"),AND(O28="Alta",S28="Moderado"),AND(O28="Alta",S28="Mayor"),AND(O28="Muy Alta",S28="Leve"),AND(O28="Muy Alta",S28="Menor"),AND(O28="Muy Alta",S28="Moderado"),AND(O28="Muy Alta",S28="Mayor")),"Alto",IF(OR(AND(O28="Muy Baja",S28="Catastrófico"),AND(O28="Baja",S28="Catastrófico"),AND(O28="Media",S28="Catastrófico"),AND(O28="Alta",S28="Catastrófico"),AND(O28="Muy Alta",S28="Catastrófico")),"Extremo",""))))</f>
        <v>Moderado</v>
      </c>
      <c r="V28" s="334">
        <v>1</v>
      </c>
      <c r="W28" s="337" t="s">
        <v>299</v>
      </c>
      <c r="X28" s="301" t="str">
        <f t="shared" si="26"/>
        <v>Probabilidad</v>
      </c>
      <c r="Y28" s="276" t="s">
        <v>14</v>
      </c>
      <c r="Z28" s="276" t="s">
        <v>9</v>
      </c>
      <c r="AA28" s="278" t="str">
        <f>IF(AND(Y28="Preventivo",Z28="Automático"),"50%",IF(AND(Y28="Preventivo",Z28="Manual"),"40%",IF(AND(Y28="Detectivo",Z28="Automático"),"40%",IF(AND(Y28="Detectivo",Z28="Manual"),"30%",IF(AND(Y28="Correctivo",Z28="Automático"),"35%",IF(AND(Y28="Correctivo",Z28="Manual"),"25%",""))))))</f>
        <v>40%</v>
      </c>
      <c r="AB28" s="276" t="s">
        <v>19</v>
      </c>
      <c r="AC28" s="276" t="s">
        <v>22</v>
      </c>
      <c r="AD28" s="276" t="s">
        <v>117</v>
      </c>
      <c r="AE28" s="298">
        <f>IFERROR(IF(X28="Probabilidad",(P28-(+P28*AA28)),IF(X28="Impacto",P28,"")),"")</f>
        <v>0.36</v>
      </c>
      <c r="AF28" s="282" t="str">
        <f>IFERROR(IF(AE28="","",IF(AE28&lt;=0.2,"Muy Baja",IF(AE28&lt;=0.4,"Baja",IF(AE28&lt;=0.6,"Media",IF(AE28&lt;=0.8,"Alta","Muy Alta"))))),"")</f>
        <v>Baja</v>
      </c>
      <c r="AG28" s="278">
        <f>+AE28</f>
        <v>0.36</v>
      </c>
      <c r="AH28" s="282" t="str">
        <f>IFERROR(IF(AI28="","",IF(AI28&lt;=0.2,"Leve",IF(AI28&lt;=0.4,"Menor",IF(AI28&lt;=0.6,"Moderado",IF(AI28&lt;=0.8,"Mayor","Catastrófico"))))),"")</f>
        <v>Moderado</v>
      </c>
      <c r="AI28" s="278">
        <f>IFERROR(IF(X28="Impacto",(T28-(+T28*AA28)),IF(X28="Probabilidad",T28,"")),"")</f>
        <v>0.6</v>
      </c>
      <c r="AJ28" s="284" t="str">
        <f>IFERROR(IF(OR(AND(AF28="Muy Baja",AH28="Leve"),AND(AF28="Muy Baja",AH28="Menor"),AND(AF28="Baja",AH28="Leve")),"Bajo",IF(OR(AND(AF28="Muy baja",AH28="Moderado"),AND(AF28="Baja",AH28="Menor"),AND(AF28="Baja",AH28="Moderado"),AND(AF28="Media",AH28="Leve"),AND(AF28="Media",AH28="Menor"),AND(AF28="Media",AH28="Moderado"),AND(AF28="Alta",AH28="Leve"),AND(AF28="Alta",AH28="Menor")),"Moderado",IF(OR(AND(AF28="Muy Baja",AH28="Mayor"),AND(AF28="Baja",AH28="Mayor"),AND(AF28="Media",AH28="Mayor"),AND(AF28="Alta",AH28="Moderado"),AND(AF28="Alta",AH28="Mayor"),AND(AF28="Muy Alta",AH28="Leve"),AND(AF28="Muy Alta",AH28="Menor"),AND(AF28="Muy Alta",AH28="Moderado"),AND(AF28="Muy Alta",AH28="Mayor")),"Alto",IF(OR(AND(AF28="Muy Baja",AH28="Catastrófico"),AND(AF28="Baja",AH28="Catastrófico"),AND(AF28="Media",AH28="Catastrófico"),AND(AF28="Alta",AH28="Catastrófico"),AND(AF28="Muy Alta",AH28="Catastrófico")),"Extremo","")))),"")</f>
        <v>Moderado</v>
      </c>
      <c r="AK28" s="276" t="s">
        <v>132</v>
      </c>
      <c r="AL28" s="99" t="s">
        <v>301</v>
      </c>
      <c r="AM28" s="280" t="s">
        <v>300</v>
      </c>
      <c r="AN28" s="112" t="s">
        <v>303</v>
      </c>
      <c r="AO28" s="101">
        <v>44496</v>
      </c>
      <c r="AP28" s="99" t="s">
        <v>516</v>
      </c>
      <c r="AQ28" s="100" t="s">
        <v>41</v>
      </c>
      <c r="AR28" s="99" t="s">
        <v>312</v>
      </c>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row>
    <row r="29" spans="1:75" ht="58.5" customHeight="1" x14ac:dyDescent="0.3">
      <c r="A29" s="335"/>
      <c r="B29" s="335"/>
      <c r="C29" s="332"/>
      <c r="D29" s="332"/>
      <c r="E29" s="312"/>
      <c r="F29" s="312"/>
      <c r="G29" s="312"/>
      <c r="H29" s="314"/>
      <c r="I29" s="315"/>
      <c r="J29" s="315"/>
      <c r="K29" s="315"/>
      <c r="L29" s="315"/>
      <c r="M29" s="312"/>
      <c r="N29" s="343"/>
      <c r="O29" s="320"/>
      <c r="P29" s="323"/>
      <c r="Q29" s="326"/>
      <c r="R29" s="323">
        <f>IF(NOT(ISERROR(MATCH(Q29,_xlfn.ANCHORARRAY(H33),0))),#REF!&amp;"Por favor no seleccionar los criterios de impacto",Q29)</f>
        <v>0</v>
      </c>
      <c r="S29" s="320"/>
      <c r="T29" s="323"/>
      <c r="U29" s="349"/>
      <c r="V29" s="336"/>
      <c r="W29" s="339"/>
      <c r="X29" s="303"/>
      <c r="Y29" s="277"/>
      <c r="Z29" s="277"/>
      <c r="AA29" s="279"/>
      <c r="AB29" s="277"/>
      <c r="AC29" s="277"/>
      <c r="AD29" s="277"/>
      <c r="AE29" s="300"/>
      <c r="AF29" s="283"/>
      <c r="AG29" s="279"/>
      <c r="AH29" s="283"/>
      <c r="AI29" s="279"/>
      <c r="AJ29" s="285"/>
      <c r="AK29" s="277"/>
      <c r="AL29" s="99" t="s">
        <v>302</v>
      </c>
      <c r="AM29" s="281"/>
      <c r="AN29" s="112" t="s">
        <v>304</v>
      </c>
      <c r="AO29" s="101">
        <v>44496</v>
      </c>
      <c r="AP29" s="99" t="s">
        <v>517</v>
      </c>
      <c r="AQ29" s="100" t="s">
        <v>41</v>
      </c>
      <c r="AR29" s="99" t="s">
        <v>311</v>
      </c>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row>
    <row r="30" spans="1:75" ht="72.75" customHeight="1" x14ac:dyDescent="0.3">
      <c r="A30" s="334" t="s">
        <v>313</v>
      </c>
      <c r="B30" s="334" t="s">
        <v>285</v>
      </c>
      <c r="C30" s="331" t="s">
        <v>286</v>
      </c>
      <c r="D30" s="331" t="s">
        <v>222</v>
      </c>
      <c r="E30" s="280" t="s">
        <v>130</v>
      </c>
      <c r="F30" s="280" t="s">
        <v>520</v>
      </c>
      <c r="G30" s="280" t="s">
        <v>314</v>
      </c>
      <c r="H30" s="313" t="s">
        <v>519</v>
      </c>
      <c r="I30" s="313" t="s">
        <v>230</v>
      </c>
      <c r="J30" s="313" t="s">
        <v>230</v>
      </c>
      <c r="K30" s="313" t="s">
        <v>230</v>
      </c>
      <c r="L30" s="313" t="s">
        <v>230</v>
      </c>
      <c r="M30" s="280" t="s">
        <v>121</v>
      </c>
      <c r="N30" s="342">
        <v>24</v>
      </c>
      <c r="O30" s="319" t="str">
        <f>IF(N30&lt;=0,"",IF(N30&lt;=2,"Muy Baja",IF(N30&lt;=24,"Baja",IF(N30&lt;=500,"Media",IF(N30&lt;=5000,"Alta","Muy Alta")))))</f>
        <v>Baja</v>
      </c>
      <c r="P30" s="322">
        <f>IF(O30="","",IF(O30="Muy Baja",0.2,IF(O30="Baja",0.4,IF(O30="Media",0.6,IF(O30="Alta",0.8,IF(O30="Muy Alta",1,))))))</f>
        <v>0.4</v>
      </c>
      <c r="Q30" s="325" t="s">
        <v>149</v>
      </c>
      <c r="R30" s="322" t="str">
        <f>IF(NOT(ISERROR(MATCH(Q30,'Tabla Impacto'!$B$221:$B$223,0))),'Tabla Impacto'!$F$223&amp;"Por favor no seleccionar los criterios de impacto(Afectación Económica o presupuestal y Pérdida Reputacional)",Q30)</f>
        <v xml:space="preserve">     El riesgo afecta la imagen de la entidad internamente, de conocimiento general, nivel interno, de junta dircetiva y accionistas y/o de provedores</v>
      </c>
      <c r="S30" s="319" t="str">
        <f>IF(OR(R30='Tabla Impacto'!$C$11,R30='Tabla Impacto'!$D$11),"Leve",IF(OR(R30='Tabla Impacto'!$C$12,R30='Tabla Impacto'!$D$12),"Menor",IF(OR(R30='Tabla Impacto'!$C$13,R30='Tabla Impacto'!$D$13),"Moderado",IF(OR(R30='Tabla Impacto'!$C$14,R30='Tabla Impacto'!$D$14),"Mayor",IF(OR(R30='Tabla Impacto'!$C$15,R30='Tabla Impacto'!$D$15),"Catastrófico","")))))</f>
        <v>Menor</v>
      </c>
      <c r="T30" s="322">
        <f>IF(S30="","",IF(S30="Leve",0.2,IF(S30="Menor",0.4,IF(S30="Moderado",0.6,IF(S30="Mayor",0.8,IF(S30="Catastrófico",1,))))))</f>
        <v>0.4</v>
      </c>
      <c r="U30" s="340" t="str">
        <f>IF(OR(AND(O30="Muy Baja",S30="Leve"),AND(O30="Muy Baja",S30="Menor"),AND(O30="Baja",S30="Leve")),"Bajo",IF(OR(AND(O30="Muy baja",S30="Moderado"),AND(O30="Baja",S30="Menor"),AND(O30="Baja",S30="Moderado"),AND(O30="Media",S30="Leve"),AND(O30="Media",S30="Menor"),AND(O30="Media",S30="Moderado"),AND(O30="Alta",S30="Leve"),AND(O30="Alta",S30="Menor")),"Moderado",IF(OR(AND(O30="Muy Baja",S30="Mayor"),AND(O30="Baja",S30="Mayor"),AND(O30="Media",S30="Mayor"),AND(O30="Alta",S30="Moderado"),AND(O30="Alta",S30="Mayor"),AND(O30="Muy Alta",S30="Leve"),AND(O30="Muy Alta",S30="Menor"),AND(O30="Muy Alta",S30="Moderado"),AND(O30="Muy Alta",S30="Mayor")),"Alto",IF(OR(AND(O30="Muy Baja",S30="Catastrófico"),AND(O30="Baja",S30="Catastrófico"),AND(O30="Media",S30="Catastrófico"),AND(O30="Alta",S30="Catastrófico"),AND(O30="Muy Alta",S30="Catastrófico")),"Extremo",""))))</f>
        <v>Moderado</v>
      </c>
      <c r="V30" s="334">
        <v>1</v>
      </c>
      <c r="W30" s="337" t="s">
        <v>518</v>
      </c>
      <c r="X30" s="301" t="str">
        <f t="shared" si="26"/>
        <v>Probabilidad</v>
      </c>
      <c r="Y30" s="276" t="s">
        <v>14</v>
      </c>
      <c r="Z30" s="276" t="s">
        <v>9</v>
      </c>
      <c r="AA30" s="278" t="str">
        <f>IF(AND(Y30="Preventivo",Z30="Automático"),"50%",IF(AND(Y30="Preventivo",Z30="Manual"),"40%",IF(AND(Y30="Detectivo",Z30="Automático"),"40%",IF(AND(Y30="Detectivo",Z30="Manual"),"30%",IF(AND(Y30="Correctivo",Z30="Automático"),"35%",IF(AND(Y30="Correctivo",Z30="Manual"),"25%",""))))))</f>
        <v>40%</v>
      </c>
      <c r="AB30" s="276" t="s">
        <v>20</v>
      </c>
      <c r="AC30" s="276" t="s">
        <v>23</v>
      </c>
      <c r="AD30" s="276" t="s">
        <v>118</v>
      </c>
      <c r="AE30" s="298">
        <f>IFERROR(IF(X30="Probabilidad",(P30-(+P30*AA30)),IF(X30="Impacto",P30,"")),"")</f>
        <v>0.24</v>
      </c>
      <c r="AF30" s="282" t="str">
        <f>IFERROR(IF(AE30="","",IF(AE30&lt;=0.2,"Muy Baja",IF(AE30&lt;=0.4,"Baja",IF(AE30&lt;=0.6,"Media",IF(AE30&lt;=0.8,"Alta","Muy Alta"))))),"")</f>
        <v>Baja</v>
      </c>
      <c r="AG30" s="278">
        <f>+AE30</f>
        <v>0.24</v>
      </c>
      <c r="AH30" s="282" t="str">
        <f>IFERROR(IF(AI30="","",IF(AI30&lt;=0.2,"Leve",IF(AI30&lt;=0.4,"Menor",IF(AI30&lt;=0.6,"Moderado",IF(AI30&lt;=0.8,"Mayor","Catastrófico"))))),"")</f>
        <v>Menor</v>
      </c>
      <c r="AI30" s="278">
        <f>IFERROR(IF(X30="Impacto",(T30-(+T30*AA30)),IF(X30="Probabilidad",T30,"")),"")</f>
        <v>0.4</v>
      </c>
      <c r="AJ30" s="284" t="str">
        <f>IFERROR(IF(OR(AND(AF30="Muy Baja",AH30="Leve"),AND(AF30="Muy Baja",AH30="Menor"),AND(AF30="Baja",AH30="Leve")),"Bajo",IF(OR(AND(AF30="Muy baja",AH30="Moderado"),AND(AF30="Baja",AH30="Menor"),AND(AF30="Baja",AH30="Moderado"),AND(AF30="Media",AH30="Leve"),AND(AF30="Media",AH30="Menor"),AND(AF30="Media",AH30="Moderado"),AND(AF30="Alta",AH30="Leve"),AND(AF30="Alta",AH30="Menor")),"Moderado",IF(OR(AND(AF30="Muy Baja",AH30="Mayor"),AND(AF30="Baja",AH30="Mayor"),AND(AF30="Media",AH30="Mayor"),AND(AF30="Alta",AH30="Moderado"),AND(AF30="Alta",AH30="Mayor"),AND(AF30="Muy Alta",AH30="Leve"),AND(AF30="Muy Alta",AH30="Menor"),AND(AF30="Muy Alta",AH30="Moderado"),AND(AF30="Muy Alta",AH30="Mayor")),"Alto",IF(OR(AND(AF30="Muy Baja",AH30="Catastrófico"),AND(AF30="Baja",AH30="Catastrófico"),AND(AF30="Media",AH30="Catastrófico"),AND(AF30="Alta",AH30="Catastrófico"),AND(AF30="Muy Alta",AH30="Catastrófico")),"Extremo","")))),"")</f>
        <v>Moderado</v>
      </c>
      <c r="AK30" s="398" t="s">
        <v>31</v>
      </c>
      <c r="AL30" s="280" t="s">
        <v>572</v>
      </c>
      <c r="AM30" s="280" t="s">
        <v>223</v>
      </c>
      <c r="AN30" s="280" t="s">
        <v>223</v>
      </c>
      <c r="AO30" s="280" t="s">
        <v>223</v>
      </c>
      <c r="AP30" s="280" t="s">
        <v>223</v>
      </c>
      <c r="AQ30" s="280" t="s">
        <v>223</v>
      </c>
      <c r="AR30" s="280" t="s">
        <v>223</v>
      </c>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row>
    <row r="31" spans="1:75" ht="64.5" customHeight="1" x14ac:dyDescent="0.3">
      <c r="A31" s="335"/>
      <c r="B31" s="335"/>
      <c r="C31" s="332"/>
      <c r="D31" s="332"/>
      <c r="E31" s="312"/>
      <c r="F31" s="312"/>
      <c r="G31" s="312"/>
      <c r="H31" s="314"/>
      <c r="I31" s="314"/>
      <c r="J31" s="314"/>
      <c r="K31" s="314"/>
      <c r="L31" s="314"/>
      <c r="M31" s="312"/>
      <c r="N31" s="343"/>
      <c r="O31" s="320"/>
      <c r="P31" s="323"/>
      <c r="Q31" s="326"/>
      <c r="R31" s="323">
        <f>IF(NOT(ISERROR(MATCH(Q31,_xlfn.ANCHORARRAY(H35),0))),#REF!&amp;"Por favor no seleccionar los criterios de impacto",Q31)</f>
        <v>0</v>
      </c>
      <c r="S31" s="320"/>
      <c r="T31" s="323"/>
      <c r="U31" s="349"/>
      <c r="V31" s="336"/>
      <c r="W31" s="339"/>
      <c r="X31" s="303"/>
      <c r="Y31" s="277"/>
      <c r="Z31" s="277"/>
      <c r="AA31" s="279"/>
      <c r="AB31" s="277"/>
      <c r="AC31" s="277"/>
      <c r="AD31" s="277"/>
      <c r="AE31" s="300"/>
      <c r="AF31" s="283"/>
      <c r="AG31" s="279"/>
      <c r="AH31" s="283"/>
      <c r="AI31" s="279"/>
      <c r="AJ31" s="285"/>
      <c r="AK31" s="400"/>
      <c r="AL31" s="312"/>
      <c r="AM31" s="312"/>
      <c r="AN31" s="312"/>
      <c r="AO31" s="312"/>
      <c r="AP31" s="312"/>
      <c r="AQ31" s="312"/>
      <c r="AR31" s="312"/>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row>
    <row r="32" spans="1:75" ht="80.25" customHeight="1" x14ac:dyDescent="0.3">
      <c r="A32" s="335"/>
      <c r="B32" s="335"/>
      <c r="C32" s="332"/>
      <c r="D32" s="332"/>
      <c r="E32" s="312"/>
      <c r="F32" s="312"/>
      <c r="G32" s="312"/>
      <c r="H32" s="314"/>
      <c r="I32" s="315"/>
      <c r="J32" s="315"/>
      <c r="K32" s="315"/>
      <c r="L32" s="315"/>
      <c r="M32" s="312"/>
      <c r="N32" s="343"/>
      <c r="O32" s="320"/>
      <c r="P32" s="323"/>
      <c r="Q32" s="326"/>
      <c r="R32" s="323">
        <f>IF(NOT(ISERROR(MATCH(Q32,_xlfn.ANCHORARRAY(H36),0))),#REF!&amp;"Por favor no seleccionar los criterios de impacto",Q32)</f>
        <v>0</v>
      </c>
      <c r="S32" s="320"/>
      <c r="T32" s="323"/>
      <c r="U32" s="349"/>
      <c r="V32" s="91">
        <v>2</v>
      </c>
      <c r="W32" s="102" t="s">
        <v>315</v>
      </c>
      <c r="X32" s="92" t="str">
        <f t="shared" si="26"/>
        <v>Probabilidad</v>
      </c>
      <c r="Y32" s="93" t="s">
        <v>14</v>
      </c>
      <c r="Z32" s="93" t="s">
        <v>9</v>
      </c>
      <c r="AA32" s="94" t="str">
        <f t="shared" ref="AA32" si="27">IF(AND(Y32="Preventivo",Z32="Automático"),"50%",IF(AND(Y32="Preventivo",Z32="Manual"),"40%",IF(AND(Y32="Detectivo",Z32="Automático"),"40%",IF(AND(Y32="Detectivo",Z32="Manual"),"30%",IF(AND(Y32="Correctivo",Z32="Automático"),"35%",IF(AND(Y32="Correctivo",Z32="Manual"),"25%",""))))))</f>
        <v>40%</v>
      </c>
      <c r="AB32" s="93" t="s">
        <v>19</v>
      </c>
      <c r="AC32" s="93" t="s">
        <v>23</v>
      </c>
      <c r="AD32" s="93" t="s">
        <v>117</v>
      </c>
      <c r="AE32" s="181">
        <f>IFERROR(IF(AND(X30="Probabilidad",X32="Probabilidad"),(AG30-(+AG30*AA32)),IF(X30="Probabilidad",(P30-(+P30*AA32)),IF(X32="Impacto",AG30,""))),"")</f>
        <v>0.14399999999999999</v>
      </c>
      <c r="AF32" s="95" t="str">
        <f t="shared" ref="AF32" si="28">IFERROR(IF(AE32="","",IF(AE32&lt;=0.2,"Muy Baja",IF(AE32&lt;=0.4,"Baja",IF(AE32&lt;=0.6,"Media",IF(AE32&lt;=0.8,"Alta","Muy Alta"))))),"")</f>
        <v>Muy Baja</v>
      </c>
      <c r="AG32" s="96">
        <f t="shared" ref="AG32" si="29">+AE32</f>
        <v>0.14399999999999999</v>
      </c>
      <c r="AH32" s="95" t="str">
        <f t="shared" ref="AH32" si="30">IFERROR(IF(AI32="","",IF(AI32&lt;=0.2,"Leve",IF(AI32&lt;=0.4,"Menor",IF(AI32&lt;=0.6,"Moderado",IF(AI32&lt;=0.8,"Mayor","Catastrófico"))))),"")</f>
        <v>Menor</v>
      </c>
      <c r="AI32" s="96">
        <f>IFERROR(IF(AND(X30="Impacto",X32="Impacto"),(AI30-(+AI30*AA32)),IF(X32="Impacto",($T$17-(+$T$17*AA32)),IF(X32="Probabilidad",AI30,""))),"")</f>
        <v>0.4</v>
      </c>
      <c r="AJ32" s="97" t="str">
        <f t="shared" ref="AJ32" si="31">IFERROR(IF(OR(AND(AF32="Muy Baja",AH32="Leve"),AND(AF32="Muy Baja",AH32="Menor"),AND(AF32="Baja",AH32="Leve")),"Bajo",IF(OR(AND(AF32="Muy baja",AH32="Moderado"),AND(AF32="Baja",AH32="Menor"),AND(AF32="Baja",AH32="Moderado"),AND(AF32="Media",AH32="Leve"),AND(AF32="Media",AH32="Menor"),AND(AF32="Media",AH32="Moderado"),AND(AF32="Alta",AH32="Leve"),AND(AF32="Alta",AH32="Menor")),"Moderado",IF(OR(AND(AF32="Muy Baja",AH32="Mayor"),AND(AF32="Baja",AH32="Mayor"),AND(AF32="Media",AH32="Mayor"),AND(AF32="Alta",AH32="Moderado"),AND(AF32="Alta",AH32="Mayor"),AND(AF32="Muy Alta",AH32="Leve"),AND(AF32="Muy Alta",AH32="Menor"),AND(AF32="Muy Alta",AH32="Moderado"),AND(AF32="Muy Alta",AH32="Mayor")),"Alto",IF(OR(AND(AF32="Muy Baja",AH32="Catastrófico"),AND(AF32="Baja",AH32="Catastrófico"),AND(AF32="Media",AH32="Catastrófico"),AND(AF32="Alta",AH32="Catastrófico"),AND(AF32="Muy Alta",AH32="Catastrófico")),"Extremo","")))),"")</f>
        <v>Bajo</v>
      </c>
      <c r="AK32" s="399"/>
      <c r="AL32" s="281"/>
      <c r="AM32" s="281"/>
      <c r="AN32" s="281"/>
      <c r="AO32" s="281"/>
      <c r="AP32" s="281"/>
      <c r="AQ32" s="281"/>
      <c r="AR32" s="281"/>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row>
    <row r="33" spans="1:75" ht="72.75" customHeight="1" x14ac:dyDescent="0.3">
      <c r="A33" s="334" t="s">
        <v>316</v>
      </c>
      <c r="B33" s="331" t="s">
        <v>317</v>
      </c>
      <c r="C33" s="331" t="s">
        <v>318</v>
      </c>
      <c r="D33" s="331" t="s">
        <v>222</v>
      </c>
      <c r="E33" s="280" t="s">
        <v>130</v>
      </c>
      <c r="F33" s="280" t="s">
        <v>319</v>
      </c>
      <c r="G33" s="280" t="s">
        <v>328</v>
      </c>
      <c r="H33" s="313" t="s">
        <v>329</v>
      </c>
      <c r="I33" s="313" t="s">
        <v>230</v>
      </c>
      <c r="J33" s="313" t="s">
        <v>230</v>
      </c>
      <c r="K33" s="313" t="s">
        <v>230</v>
      </c>
      <c r="L33" s="313" t="s">
        <v>230</v>
      </c>
      <c r="M33" s="280" t="s">
        <v>121</v>
      </c>
      <c r="N33" s="342">
        <v>150</v>
      </c>
      <c r="O33" s="319" t="str">
        <f>IF(N33&lt;=0,"",IF(N33&lt;=2,"Muy Baja",IF(N33&lt;=24,"Baja",IF(N33&lt;=500,"Media",IF(N33&lt;=5000,"Alta","Muy Alta")))))</f>
        <v>Media</v>
      </c>
      <c r="P33" s="322">
        <f>IF(O33="","",IF(O33="Muy Baja",0.2,IF(O33="Baja",0.4,IF(O33="Media",0.6,IF(O33="Alta",0.8,IF(O33="Muy Alta",1,))))))</f>
        <v>0.6</v>
      </c>
      <c r="Q33" s="325" t="s">
        <v>149</v>
      </c>
      <c r="R33" s="322" t="str">
        <f>IF(NOT(ISERROR(MATCH(Q33,'Tabla Impacto'!$B$221:$B$223,0))),'Tabla Impacto'!$F$223&amp;"Por favor no seleccionar los criterios de impacto(Afectación Económica o presupuestal y Pérdida Reputacional)",Q33)</f>
        <v xml:space="preserve">     El riesgo afecta la imagen de la entidad internamente, de conocimiento general, nivel interno, de junta dircetiva y accionistas y/o de provedores</v>
      </c>
      <c r="S33" s="319" t="str">
        <f>IF(OR(R33='Tabla Impacto'!$C$11,R33='Tabla Impacto'!$D$11),"Leve",IF(OR(R33='Tabla Impacto'!$C$12,R33='Tabla Impacto'!$D$12),"Menor",IF(OR(R33='Tabla Impacto'!$C$13,R33='Tabla Impacto'!$D$13),"Moderado",IF(OR(R33='Tabla Impacto'!$C$14,R33='Tabla Impacto'!$D$14),"Mayor",IF(OR(R33='Tabla Impacto'!$C$15,R33='Tabla Impacto'!$D$15),"Catastrófico","")))))</f>
        <v>Menor</v>
      </c>
      <c r="T33" s="322">
        <f>IF(S33="","",IF(S33="Leve",0.2,IF(S33="Menor",0.4,IF(S33="Moderado",0.6,IF(S33="Mayor",0.8,IF(S33="Catastrófico",1,))))))</f>
        <v>0.4</v>
      </c>
      <c r="U33" s="340" t="str">
        <f>IF(OR(AND(O33="Muy Baja",S33="Leve"),AND(O33="Muy Baja",S33="Menor"),AND(O33="Baja",S33="Leve")),"Bajo",IF(OR(AND(O33="Muy baja",S33="Moderado"),AND(O33="Baja",S33="Menor"),AND(O33="Baja",S33="Moderado"),AND(O33="Media",S33="Leve"),AND(O33="Media",S33="Menor"),AND(O33="Media",S33="Moderado"),AND(O33="Alta",S33="Leve"),AND(O33="Alta",S33="Menor")),"Moderado",IF(OR(AND(O33="Muy Baja",S33="Mayor"),AND(O33="Baja",S33="Mayor"),AND(O33="Media",S33="Mayor"),AND(O33="Alta",S33="Moderado"),AND(O33="Alta",S33="Mayor"),AND(O33="Muy Alta",S33="Leve"),AND(O33="Muy Alta",S33="Menor"),AND(O33="Muy Alta",S33="Moderado"),AND(O33="Muy Alta",S33="Mayor")),"Alto",IF(OR(AND(O33="Muy Baja",S33="Catastrófico"),AND(O33="Baja",S33="Catastrófico"),AND(O33="Media",S33="Catastrófico"),AND(O33="Alta",S33="Catastrófico"),AND(O33="Muy Alta",S33="Catastrófico")),"Extremo",""))))</f>
        <v>Moderado</v>
      </c>
      <c r="V33" s="334">
        <v>1</v>
      </c>
      <c r="W33" s="337" t="s">
        <v>320</v>
      </c>
      <c r="X33" s="301" t="str">
        <f t="shared" si="26"/>
        <v>Probabilidad</v>
      </c>
      <c r="Y33" s="276" t="s">
        <v>14</v>
      </c>
      <c r="Z33" s="276" t="s">
        <v>9</v>
      </c>
      <c r="AA33" s="278" t="str">
        <f>IF(AND(Y33="Preventivo",Z33="Automático"),"50%",IF(AND(Y33="Preventivo",Z33="Manual"),"40%",IF(AND(Y33="Detectivo",Z33="Automático"),"40%",IF(AND(Y33="Detectivo",Z33="Manual"),"30%",IF(AND(Y33="Correctivo",Z33="Automático"),"35%",IF(AND(Y33="Correctivo",Z33="Manual"),"25%",""))))))</f>
        <v>40%</v>
      </c>
      <c r="AB33" s="276" t="s">
        <v>19</v>
      </c>
      <c r="AC33" s="276" t="s">
        <v>23</v>
      </c>
      <c r="AD33" s="276" t="s">
        <v>117</v>
      </c>
      <c r="AE33" s="298">
        <f>IFERROR(IF(X33="Probabilidad",(P33-(+P33*AA33)),IF(X33="Impacto",P33,"")),"")</f>
        <v>0.36</v>
      </c>
      <c r="AF33" s="282" t="str">
        <f>IFERROR(IF(AE33="","",IF(AE33&lt;=0.2,"Muy Baja",IF(AE33&lt;=0.4,"Baja",IF(AE33&lt;=0.6,"Media",IF(AE33&lt;=0.8,"Alta","Muy Alta"))))),"")</f>
        <v>Baja</v>
      </c>
      <c r="AG33" s="278">
        <f>+AE33</f>
        <v>0.36</v>
      </c>
      <c r="AH33" s="282" t="str">
        <f>IFERROR(IF(AI33="","",IF(AI33&lt;=0.2,"Leve",IF(AI33&lt;=0.4,"Menor",IF(AI33&lt;=0.6,"Moderado",IF(AI33&lt;=0.8,"Mayor","Catastrófico"))))),"")</f>
        <v>Menor</v>
      </c>
      <c r="AI33" s="278">
        <f>IFERROR(IF(X33="Impacto",(T33-(+T33*AA33)),IF(X33="Probabilidad",T33,"")),"")</f>
        <v>0.4</v>
      </c>
      <c r="AJ33" s="284" t="str">
        <f>IFERROR(IF(OR(AND(AF33="Muy Baja",AH33="Leve"),AND(AF33="Muy Baja",AH33="Menor"),AND(AF33="Baja",AH33="Leve")),"Bajo",IF(OR(AND(AF33="Muy baja",AH33="Moderado"),AND(AF33="Baja",AH33="Menor"),AND(AF33="Baja",AH33="Moderado"),AND(AF33="Media",AH33="Leve"),AND(AF33="Media",AH33="Menor"),AND(AF33="Media",AH33="Moderado"),AND(AF33="Alta",AH33="Leve"),AND(AF33="Alta",AH33="Menor")),"Moderado",IF(OR(AND(AF33="Muy Baja",AH33="Mayor"),AND(AF33="Baja",AH33="Mayor"),AND(AF33="Media",AH33="Mayor"),AND(AF33="Alta",AH33="Moderado"),AND(AF33="Alta",AH33="Mayor"),AND(AF33="Muy Alta",AH33="Leve"),AND(AF33="Muy Alta",AH33="Menor"),AND(AF33="Muy Alta",AH33="Moderado"),AND(AF33="Muy Alta",AH33="Mayor")),"Alto",IF(OR(AND(AF33="Muy Baja",AH33="Catastrófico"),AND(AF33="Baja",AH33="Catastrófico"),AND(AF33="Media",AH33="Catastrófico"),AND(AF33="Alta",AH33="Catastrófico"),AND(AF33="Muy Alta",AH33="Catastrófico")),"Extremo","")))),"")</f>
        <v>Moderado</v>
      </c>
      <c r="AK33" s="276" t="s">
        <v>132</v>
      </c>
      <c r="AL33" s="99" t="s">
        <v>322</v>
      </c>
      <c r="AM33" s="99" t="s">
        <v>323</v>
      </c>
      <c r="AN33" s="112" t="s">
        <v>325</v>
      </c>
      <c r="AO33" s="101">
        <v>44508</v>
      </c>
      <c r="AP33" s="99" t="s">
        <v>537</v>
      </c>
      <c r="AQ33" s="100" t="s">
        <v>40</v>
      </c>
      <c r="AR33" s="99" t="s">
        <v>327</v>
      </c>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row>
    <row r="34" spans="1:75" ht="72" customHeight="1" x14ac:dyDescent="0.3">
      <c r="A34" s="335"/>
      <c r="B34" s="332"/>
      <c r="C34" s="332"/>
      <c r="D34" s="332"/>
      <c r="E34" s="312"/>
      <c r="F34" s="312"/>
      <c r="G34" s="312"/>
      <c r="H34" s="314"/>
      <c r="I34" s="315"/>
      <c r="J34" s="315"/>
      <c r="K34" s="315"/>
      <c r="L34" s="315"/>
      <c r="M34" s="312"/>
      <c r="N34" s="343"/>
      <c r="O34" s="320"/>
      <c r="P34" s="323"/>
      <c r="Q34" s="326"/>
      <c r="R34" s="323">
        <f>IF(NOT(ISERROR(MATCH(Q34,_xlfn.ANCHORARRAY(#REF!),0))),#REF!&amp;"Por favor no seleccionar los criterios de impacto",Q34)</f>
        <v>0</v>
      </c>
      <c r="S34" s="320"/>
      <c r="T34" s="323"/>
      <c r="U34" s="349"/>
      <c r="V34" s="336"/>
      <c r="W34" s="339"/>
      <c r="X34" s="303"/>
      <c r="Y34" s="277"/>
      <c r="Z34" s="277"/>
      <c r="AA34" s="279"/>
      <c r="AB34" s="277"/>
      <c r="AC34" s="277"/>
      <c r="AD34" s="277"/>
      <c r="AE34" s="300"/>
      <c r="AF34" s="283"/>
      <c r="AG34" s="279"/>
      <c r="AH34" s="283"/>
      <c r="AI34" s="279"/>
      <c r="AJ34" s="285"/>
      <c r="AK34" s="277"/>
      <c r="AL34" s="99" t="s">
        <v>321</v>
      </c>
      <c r="AM34" s="99" t="s">
        <v>323</v>
      </c>
      <c r="AN34" s="112" t="s">
        <v>324</v>
      </c>
      <c r="AO34" s="101">
        <v>44508</v>
      </c>
      <c r="AP34" s="99" t="s">
        <v>538</v>
      </c>
      <c r="AQ34" s="100" t="s">
        <v>41</v>
      </c>
      <c r="AR34" s="99" t="s">
        <v>326</v>
      </c>
    </row>
    <row r="35" spans="1:75" ht="69.75" customHeight="1" x14ac:dyDescent="0.3">
      <c r="A35" s="328" t="s">
        <v>330</v>
      </c>
      <c r="B35" s="331" t="s">
        <v>317</v>
      </c>
      <c r="C35" s="331" t="s">
        <v>345</v>
      </c>
      <c r="D35" s="331" t="s">
        <v>222</v>
      </c>
      <c r="E35" s="280" t="s">
        <v>130</v>
      </c>
      <c r="F35" s="350" t="s">
        <v>332</v>
      </c>
      <c r="G35" s="352" t="s">
        <v>333</v>
      </c>
      <c r="H35" s="313" t="s">
        <v>331</v>
      </c>
      <c r="I35" s="313" t="s">
        <v>230</v>
      </c>
      <c r="J35" s="313" t="s">
        <v>230</v>
      </c>
      <c r="K35" s="313" t="s">
        <v>230</v>
      </c>
      <c r="L35" s="313" t="s">
        <v>230</v>
      </c>
      <c r="M35" s="280" t="s">
        <v>121</v>
      </c>
      <c r="N35" s="342">
        <v>150</v>
      </c>
      <c r="O35" s="319" t="str">
        <f>IF(N35&lt;=0,"",IF(N35&lt;=2,"Muy Baja",IF(N35&lt;=24,"Baja",IF(N35&lt;=500,"Media",IF(N35&lt;=5000,"Alta","Muy Alta")))))</f>
        <v>Media</v>
      </c>
      <c r="P35" s="322">
        <f>IF(O35="","",IF(O35="Muy Baja",0.2,IF(O35="Baja",0.4,IF(O35="Media",0.6,IF(O35="Alta",0.8,IF(O35="Muy Alta",1,))))))</f>
        <v>0.6</v>
      </c>
      <c r="Q35" s="325" t="s">
        <v>149</v>
      </c>
      <c r="R35" s="322" t="str">
        <f>IF(NOT(ISERROR(MATCH(Q35,'Tabla Impacto'!$B$221:$B$223,0))),'Tabla Impacto'!$F$223&amp;"Por favor no seleccionar los criterios de impacto(Afectación Económica o presupuestal y Pérdida Reputacional)",Q35)</f>
        <v xml:space="preserve">     El riesgo afecta la imagen de la entidad internamente, de conocimiento general, nivel interno, de junta dircetiva y accionistas y/o de provedores</v>
      </c>
      <c r="S35" s="319" t="str">
        <f>IF(OR(R35='Tabla Impacto'!$C$11,R35='Tabla Impacto'!$D$11),"Leve",IF(OR(R35='Tabla Impacto'!$C$12,R35='Tabla Impacto'!$D$12),"Menor",IF(OR(R35='Tabla Impacto'!$C$13,R35='Tabla Impacto'!$D$13),"Moderado",IF(OR(R35='Tabla Impacto'!$C$14,R35='Tabla Impacto'!$D$14),"Mayor",IF(OR(R35='Tabla Impacto'!$C$15,R35='Tabla Impacto'!$D$15),"Catastrófico","")))))</f>
        <v>Menor</v>
      </c>
      <c r="T35" s="322">
        <f>IF(S35="","",IF(S35="Leve",0.2,IF(S35="Menor",0.4,IF(S35="Moderado",0.6,IF(S35="Mayor",0.8,IF(S35="Catastrófico",1,))))))</f>
        <v>0.4</v>
      </c>
      <c r="U35" s="340" t="str">
        <f>IF(OR(AND(O35="Muy Baja",S35="Leve"),AND(O35="Muy Baja",S35="Menor"),AND(O35="Baja",S35="Leve")),"Bajo",IF(OR(AND(O35="Muy baja",S35="Moderado"),AND(O35="Baja",S35="Menor"),AND(O35="Baja",S35="Moderado"),AND(O35="Media",S35="Leve"),AND(O35="Media",S35="Menor"),AND(O35="Media",S35="Moderado"),AND(O35="Alta",S35="Leve"),AND(O35="Alta",S35="Menor")),"Moderado",IF(OR(AND(O35="Muy Baja",S35="Mayor"),AND(O35="Baja",S35="Mayor"),AND(O35="Media",S35="Mayor"),AND(O35="Alta",S35="Moderado"),AND(O35="Alta",S35="Mayor"),AND(O35="Muy Alta",S35="Leve"),AND(O35="Muy Alta",S35="Menor"),AND(O35="Muy Alta",S35="Moderado"),AND(O35="Muy Alta",S35="Mayor")),"Alto",IF(OR(AND(O35="Muy Baja",S35="Catastrófico"),AND(O35="Baja",S35="Catastrófico"),AND(O35="Media",S35="Catastrófico"),AND(O35="Alta",S35="Catastrófico"),AND(O35="Muy Alta",S35="Catastrófico")),"Extremo",""))))</f>
        <v>Moderado</v>
      </c>
      <c r="V35" s="334">
        <v>1</v>
      </c>
      <c r="W35" s="337" t="s">
        <v>334</v>
      </c>
      <c r="X35" s="301" t="str">
        <f t="shared" si="26"/>
        <v>Probabilidad</v>
      </c>
      <c r="Y35" s="276" t="s">
        <v>14</v>
      </c>
      <c r="Z35" s="276" t="s">
        <v>9</v>
      </c>
      <c r="AA35" s="278" t="str">
        <f t="shared" ref="AA35" si="32">IF(AND(Y35="Preventivo",Z35="Automático"),"50%",IF(AND(Y35="Preventivo",Z35="Manual"),"40%",IF(AND(Y35="Detectivo",Z35="Automático"),"40%",IF(AND(Y35="Detectivo",Z35="Manual"),"30%",IF(AND(Y35="Correctivo",Z35="Automático"),"35%",IF(AND(Y35="Correctivo",Z35="Manual"),"25%",""))))))</f>
        <v>40%</v>
      </c>
      <c r="AB35" s="276" t="s">
        <v>19</v>
      </c>
      <c r="AC35" s="276" t="s">
        <v>23</v>
      </c>
      <c r="AD35" s="276" t="s">
        <v>117</v>
      </c>
      <c r="AE35" s="298">
        <v>0.36</v>
      </c>
      <c r="AF35" s="282" t="s">
        <v>51</v>
      </c>
      <c r="AG35" s="278">
        <v>0.36</v>
      </c>
      <c r="AH35" s="282" t="s">
        <v>82</v>
      </c>
      <c r="AI35" s="278">
        <v>0.4</v>
      </c>
      <c r="AJ35" s="284" t="s">
        <v>79</v>
      </c>
      <c r="AK35" s="286" t="s">
        <v>132</v>
      </c>
      <c r="AL35" s="99" t="s">
        <v>335</v>
      </c>
      <c r="AM35" s="99" t="s">
        <v>337</v>
      </c>
      <c r="AN35" s="112" t="s">
        <v>339</v>
      </c>
      <c r="AO35" s="101">
        <v>44508</v>
      </c>
      <c r="AP35" s="99" t="s">
        <v>539</v>
      </c>
      <c r="AQ35" s="100" t="s">
        <v>40</v>
      </c>
      <c r="AR35" s="99" t="s">
        <v>341</v>
      </c>
    </row>
    <row r="36" spans="1:75" ht="65.25" customHeight="1" x14ac:dyDescent="0.3">
      <c r="A36" s="329"/>
      <c r="B36" s="332"/>
      <c r="C36" s="332"/>
      <c r="D36" s="332"/>
      <c r="E36" s="312"/>
      <c r="F36" s="351"/>
      <c r="G36" s="353"/>
      <c r="H36" s="314"/>
      <c r="I36" s="315"/>
      <c r="J36" s="315"/>
      <c r="K36" s="315"/>
      <c r="L36" s="315"/>
      <c r="M36" s="312"/>
      <c r="N36" s="343"/>
      <c r="O36" s="320"/>
      <c r="P36" s="323"/>
      <c r="Q36" s="326"/>
      <c r="R36" s="323">
        <f>IF(NOT(ISERROR(MATCH(Q36,_xlfn.ANCHORARRAY(H39),0))),P44&amp;"Por favor no seleccionar los criterios de impacto",Q36)</f>
        <v>0</v>
      </c>
      <c r="S36" s="320"/>
      <c r="T36" s="323"/>
      <c r="U36" s="349"/>
      <c r="V36" s="336"/>
      <c r="W36" s="339"/>
      <c r="X36" s="303"/>
      <c r="Y36" s="277"/>
      <c r="Z36" s="277"/>
      <c r="AA36" s="279"/>
      <c r="AB36" s="277"/>
      <c r="AC36" s="277"/>
      <c r="AD36" s="277"/>
      <c r="AE36" s="300"/>
      <c r="AF36" s="283"/>
      <c r="AG36" s="279"/>
      <c r="AH36" s="283"/>
      <c r="AI36" s="279"/>
      <c r="AJ36" s="285"/>
      <c r="AK36" s="287"/>
      <c r="AL36" s="99" t="s">
        <v>336</v>
      </c>
      <c r="AM36" s="99" t="s">
        <v>338</v>
      </c>
      <c r="AN36" s="112" t="s">
        <v>340</v>
      </c>
      <c r="AO36" s="101">
        <v>44511</v>
      </c>
      <c r="AP36" s="99" t="s">
        <v>540</v>
      </c>
      <c r="AQ36" s="100" t="s">
        <v>40</v>
      </c>
      <c r="AR36" s="99" t="s">
        <v>342</v>
      </c>
    </row>
    <row r="37" spans="1:75" ht="73.5" customHeight="1" x14ac:dyDescent="0.3">
      <c r="A37" s="328" t="s">
        <v>356</v>
      </c>
      <c r="B37" s="331" t="s">
        <v>343</v>
      </c>
      <c r="C37" s="331" t="s">
        <v>344</v>
      </c>
      <c r="D37" s="331" t="s">
        <v>222</v>
      </c>
      <c r="E37" s="280" t="s">
        <v>130</v>
      </c>
      <c r="F37" s="350" t="s">
        <v>347</v>
      </c>
      <c r="G37" s="352" t="s">
        <v>348</v>
      </c>
      <c r="H37" s="313" t="s">
        <v>346</v>
      </c>
      <c r="I37" s="313" t="s">
        <v>230</v>
      </c>
      <c r="J37" s="313" t="s">
        <v>230</v>
      </c>
      <c r="K37" s="313" t="s">
        <v>230</v>
      </c>
      <c r="L37" s="313" t="s">
        <v>230</v>
      </c>
      <c r="M37" s="280" t="s">
        <v>121</v>
      </c>
      <c r="N37" s="342">
        <v>14</v>
      </c>
      <c r="O37" s="319" t="str">
        <f>IF(N37&lt;=0,"",IF(N37&lt;=2,"Muy Baja",IF(N37&lt;=24,"Baja",IF(N37&lt;=500,"Media",IF(N37&lt;=5000,"Alta","Muy Alta")))))</f>
        <v>Baja</v>
      </c>
      <c r="P37" s="322">
        <f>IF(O37="","",IF(O37="Muy Baja",0.2,IF(O37="Baja",0.4,IF(O37="Media",0.6,IF(O37="Alta",0.8,IF(O37="Muy Alta",1,))))))</f>
        <v>0.4</v>
      </c>
      <c r="Q37" s="325" t="s">
        <v>152</v>
      </c>
      <c r="R37" s="322" t="str">
        <f>IF(NOT(ISERROR(MATCH(Q37,'Tabla Impacto'!$B$221:$B$223,0))),'Tabla Impacto'!$F$223&amp;"Por favor no seleccionar los criterios de impacto(Afectación Económica o presupuestal y Pérdida Reputacional)",Q37)</f>
        <v xml:space="preserve">     El riesgo afecta la imagen de la entidad a nivel nacional, con efecto publicitarios sostenible a nivel país</v>
      </c>
      <c r="S37" s="319" t="str">
        <f>IF(OR(R37='Tabla Impacto'!$C$11,R37='Tabla Impacto'!$D$11),"Leve",IF(OR(R37='Tabla Impacto'!$C$12,R37='Tabla Impacto'!$D$12),"Menor",IF(OR(R37='Tabla Impacto'!$C$13,R37='Tabla Impacto'!$D$13),"Moderado",IF(OR(R37='Tabla Impacto'!$C$14,R37='Tabla Impacto'!$D$14),"Mayor",IF(OR(R37='Tabla Impacto'!$C$15,R37='Tabla Impacto'!$D$15),"Catastrófico","")))))</f>
        <v>Catastrófico</v>
      </c>
      <c r="T37" s="322">
        <f>IF(S37="","",IF(S37="Leve",0.2,IF(S37="Menor",0.4,IF(S37="Moderado",0.6,IF(S37="Mayor",0.8,IF(S37="Catastrófico",1,))))))</f>
        <v>1</v>
      </c>
      <c r="U37" s="340" t="str">
        <f>IF(OR(AND(O37="Muy Baja",S37="Leve"),AND(O37="Muy Baja",S37="Menor"),AND(O37="Baja",S37="Leve")),"Bajo",IF(OR(AND(O37="Muy baja",S37="Moderado"),AND(O37="Baja",S37="Menor"),AND(O37="Baja",S37="Moderado"),AND(O37="Media",S37="Leve"),AND(O37="Media",S37="Menor"),AND(O37="Media",S37="Moderado"),AND(O37="Alta",S37="Leve"),AND(O37="Alta",S37="Menor")),"Moderado",IF(OR(AND(O37="Muy Baja",S37="Mayor"),AND(O37="Baja",S37="Mayor"),AND(O37="Media",S37="Mayor"),AND(O37="Alta",S37="Moderado"),AND(O37="Alta",S37="Mayor"),AND(O37="Muy Alta",S37="Leve"),AND(O37="Muy Alta",S37="Menor"),AND(O37="Muy Alta",S37="Moderado"),AND(O37="Muy Alta",S37="Mayor")),"Alto",IF(OR(AND(O37="Muy Baja",S37="Catastrófico"),AND(O37="Baja",S37="Catastrófico"),AND(O37="Media",S37="Catastrófico"),AND(O37="Alta",S37="Catastrófico"),AND(O37="Muy Alta",S37="Catastrófico")),"Extremo",""))))</f>
        <v>Extremo</v>
      </c>
      <c r="V37" s="334">
        <v>1</v>
      </c>
      <c r="W37" s="310" t="s">
        <v>349</v>
      </c>
      <c r="X37" s="310" t="str">
        <f t="shared" ref="X37" si="33">IF(OR(Y37="Preventivo",Y37="Detectivo"),"Probabilidad",IF(Y37="Correctivo","Impacto",""))</f>
        <v>Probabilidad</v>
      </c>
      <c r="Y37" s="276" t="s">
        <v>14</v>
      </c>
      <c r="Z37" s="276" t="s">
        <v>9</v>
      </c>
      <c r="AA37" s="278" t="str">
        <f>IF(AND(Y37="Preventivo",Z37="Automático"),"50%",IF(AND(Y37="Preventivo",Z37="Manual"),"40%",IF(AND(Y37="Detectivo",Z37="Automático"),"40%",IF(AND(Y37="Detectivo",Z37="Manual"),"30%",IF(AND(Y37="Correctivo",Z37="Automático"),"35%",IF(AND(Y37="Correctivo",Z37="Manual"),"25%",""))))))</f>
        <v>40%</v>
      </c>
      <c r="AB37" s="276" t="s">
        <v>19</v>
      </c>
      <c r="AC37" s="276" t="s">
        <v>22</v>
      </c>
      <c r="AD37" s="276" t="s">
        <v>117</v>
      </c>
      <c r="AE37" s="298">
        <f>IFERROR(IF(X37="Probabilidad",(P37-(+P37*AA37)),IF(X37="Impacto",P37,"")),"")</f>
        <v>0.24</v>
      </c>
      <c r="AF37" s="282" t="str">
        <f>IFERROR(IF(AE37="","",IF(AE37&lt;=0.2,"Muy Baja",IF(AE37&lt;=0.4,"Baja",IF(AE37&lt;=0.6,"Media",IF(AE37&lt;=0.8,"Alta","Muy Alta"))))),"")</f>
        <v>Baja</v>
      </c>
      <c r="AG37" s="278">
        <f>+AE37</f>
        <v>0.24</v>
      </c>
      <c r="AH37" s="282" t="str">
        <f>IFERROR(IF(AI37="","",IF(AI37&lt;=0.2,"Leve",IF(AI37&lt;=0.4,"Menor",IF(AI37&lt;=0.6,"Moderado",IF(AI37&lt;=0.8,"Mayor","Catastrófico"))))),"")</f>
        <v>Catastrófico</v>
      </c>
      <c r="AI37" s="278">
        <f>IFERROR(IF(X37="Impacto",(T37-(+T37*AA37)),IF(X37="Probabilidad",T37,"")),"")</f>
        <v>1</v>
      </c>
      <c r="AJ37" s="284" t="str">
        <f>IFERROR(IF(OR(AND(AF37="Muy Baja",AH37="Leve"),AND(AF37="Muy Baja",AH37="Menor"),AND(AF37="Baja",AH37="Leve")),"Bajo",IF(OR(AND(AF37="Muy baja",AH37="Moderado"),AND(AF37="Baja",AH37="Menor"),AND(AF37="Baja",AH37="Moderado"),AND(AF37="Media",AH37="Leve"),AND(AF37="Media",AH37="Menor"),AND(AF37="Media",AH37="Moderado"),AND(AF37="Alta",AH37="Leve"),AND(AF37="Alta",AH37="Menor")),"Moderado",IF(OR(AND(AF37="Muy Baja",AH37="Mayor"),AND(AF37="Baja",AH37="Mayor"),AND(AF37="Media",AH37="Mayor"),AND(AF37="Alta",AH37="Moderado"),AND(AF37="Alta",AH37="Mayor"),AND(AF37="Muy Alta",AH37="Leve"),AND(AF37="Muy Alta",AH37="Menor"),AND(AF37="Muy Alta",AH37="Moderado"),AND(AF37="Muy Alta",AH37="Mayor")),"Alto",IF(OR(AND(AF37="Muy Baja",AH37="Catastrófico"),AND(AF37="Baja",AH37="Catastrófico"),AND(AF37="Media",AH37="Catastrófico"),AND(AF37="Alta",AH37="Catastrófico"),AND(AF37="Muy Alta",AH37="Catastrófico")),"Extremo","")))),"")</f>
        <v>Extremo</v>
      </c>
      <c r="AK37" s="286" t="s">
        <v>132</v>
      </c>
      <c r="AL37" s="99" t="s">
        <v>350</v>
      </c>
      <c r="AM37" s="99" t="s">
        <v>352</v>
      </c>
      <c r="AN37" s="112" t="s">
        <v>353</v>
      </c>
      <c r="AO37" s="101">
        <v>44505</v>
      </c>
      <c r="AP37" s="99" t="s">
        <v>531</v>
      </c>
      <c r="AQ37" s="100" t="s">
        <v>41</v>
      </c>
      <c r="AR37" s="99" t="s">
        <v>354</v>
      </c>
    </row>
    <row r="38" spans="1:75" ht="79.5" customHeight="1" x14ac:dyDescent="0.3">
      <c r="A38" s="329"/>
      <c r="B38" s="332"/>
      <c r="C38" s="332"/>
      <c r="D38" s="332"/>
      <c r="E38" s="312"/>
      <c r="F38" s="351"/>
      <c r="G38" s="353"/>
      <c r="H38" s="314"/>
      <c r="I38" s="315"/>
      <c r="J38" s="315"/>
      <c r="K38" s="315"/>
      <c r="L38" s="315"/>
      <c r="M38" s="312"/>
      <c r="N38" s="343"/>
      <c r="O38" s="320"/>
      <c r="P38" s="323"/>
      <c r="Q38" s="326"/>
      <c r="R38" s="323">
        <f>IF(NOT(ISERROR(MATCH(Q38,_xlfn.ANCHORARRAY(H41),0))),P46&amp;"Por favor no seleccionar los criterios de impacto",Q38)</f>
        <v>0</v>
      </c>
      <c r="S38" s="320"/>
      <c r="T38" s="323"/>
      <c r="U38" s="349"/>
      <c r="V38" s="336"/>
      <c r="W38" s="311"/>
      <c r="X38" s="311"/>
      <c r="Y38" s="277"/>
      <c r="Z38" s="277"/>
      <c r="AA38" s="279"/>
      <c r="AB38" s="277"/>
      <c r="AC38" s="277"/>
      <c r="AD38" s="277"/>
      <c r="AE38" s="300"/>
      <c r="AF38" s="283"/>
      <c r="AG38" s="279"/>
      <c r="AH38" s="283"/>
      <c r="AI38" s="279"/>
      <c r="AJ38" s="285"/>
      <c r="AK38" s="287"/>
      <c r="AL38" s="99" t="s">
        <v>351</v>
      </c>
      <c r="AM38" s="99" t="s">
        <v>300</v>
      </c>
      <c r="AN38" s="112" t="s">
        <v>533</v>
      </c>
      <c r="AO38" s="101">
        <v>44505</v>
      </c>
      <c r="AP38" s="99" t="s">
        <v>532</v>
      </c>
      <c r="AQ38" s="100" t="s">
        <v>41</v>
      </c>
      <c r="AR38" s="99" t="s">
        <v>355</v>
      </c>
    </row>
    <row r="39" spans="1:75" ht="168" customHeight="1" x14ac:dyDescent="0.3">
      <c r="A39" s="119" t="s">
        <v>357</v>
      </c>
      <c r="B39" s="114" t="s">
        <v>358</v>
      </c>
      <c r="C39" s="125" t="s">
        <v>359</v>
      </c>
      <c r="D39" s="125" t="s">
        <v>222</v>
      </c>
      <c r="E39" s="125" t="s">
        <v>128</v>
      </c>
      <c r="F39" s="125" t="s">
        <v>361</v>
      </c>
      <c r="G39" s="125" t="s">
        <v>362</v>
      </c>
      <c r="H39" s="125" t="s">
        <v>360</v>
      </c>
      <c r="I39" s="138" t="s">
        <v>230</v>
      </c>
      <c r="J39" s="138" t="s">
        <v>230</v>
      </c>
      <c r="K39" s="138" t="s">
        <v>230</v>
      </c>
      <c r="L39" s="138" t="s">
        <v>230</v>
      </c>
      <c r="M39" s="137" t="s">
        <v>121</v>
      </c>
      <c r="N39" s="169">
        <v>70</v>
      </c>
      <c r="O39" s="170" t="str">
        <f>IF(N39&lt;=0,"",IF(N39&lt;=2,"Muy Baja",IF(N39&lt;=24,"Baja",IF(N39&lt;=500,"Media",IF(N39&lt;=5000,"Alta","Muy Alta")))))</f>
        <v>Media</v>
      </c>
      <c r="P39" s="167">
        <f>IF(O39="","",IF(O39="Muy Baja",0.2,IF(O39="Baja",0.4,IF(O39="Media",0.6,IF(O39="Alta",0.8,IF(O39="Muy Alta",1,))))))</f>
        <v>0.6</v>
      </c>
      <c r="Q39" s="128" t="s">
        <v>149</v>
      </c>
      <c r="R39" s="139" t="str">
        <f>IF(NOT(ISERROR(MATCH(Q39,'Tabla Impacto'!$B$221:$B$223,0))),'Tabla Impacto'!$F$223&amp;"Por favor no seleccionar los criterios de impacto(Afectación Económica o presupuestal y Pérdida Reputacional)",Q39)</f>
        <v xml:space="preserve">     El riesgo afecta la imagen de la entidad internamente, de conocimiento general, nivel interno, de junta dircetiva y accionistas y/o de provedores</v>
      </c>
      <c r="S39" s="170" t="str">
        <f>IF(OR(R39='Tabla Impacto'!$C$11,R39='Tabla Impacto'!$D$11),"Leve",IF(OR(R39='Tabla Impacto'!$C$12,R39='Tabla Impacto'!$D$12),"Menor",IF(OR(R39='Tabla Impacto'!$C$13,R39='Tabla Impacto'!$D$13),"Moderado",IF(OR(R39='Tabla Impacto'!$C$14,R39='Tabla Impacto'!$D$14),"Mayor",IF(OR(R39='Tabla Impacto'!$C$15,R39='Tabla Impacto'!$D$15),"Catastrófico","")))))</f>
        <v>Menor</v>
      </c>
      <c r="T39" s="167">
        <f>IF(S39="","",IF(S39="Leve",0.2,IF(S39="Menor",0.4,IF(S39="Moderado",0.6,IF(S39="Mayor",0.8,IF(S39="Catastrófico",1,))))))</f>
        <v>0.4</v>
      </c>
      <c r="U39" s="168" t="str">
        <f>IF(OR(AND(O39="Muy Baja",S39="Leve"),AND(O39="Muy Baja",S39="Menor"),AND(O39="Baja",S39="Leve")),"Bajo",IF(OR(AND(O39="Muy baja",S39="Moderado"),AND(O39="Baja",S39="Menor"),AND(O39="Baja",S39="Moderado"),AND(O39="Media",S39="Leve"),AND(O39="Media",S39="Menor"),AND(O39="Media",S39="Moderado"),AND(O39="Alta",S39="Leve"),AND(O39="Alta",S39="Menor")),"Moderado",IF(OR(AND(O39="Muy Baja",S39="Mayor"),AND(O39="Baja",S39="Mayor"),AND(O39="Media",S39="Mayor"),AND(O39="Alta",S39="Moderado"),AND(O39="Alta",S39="Mayor"),AND(O39="Muy Alta",S39="Leve"),AND(O39="Muy Alta",S39="Menor"),AND(O39="Muy Alta",S39="Moderado"),AND(O39="Muy Alta",S39="Mayor")),"Alto",IF(OR(AND(O39="Muy Baja",S39="Catastrófico"),AND(O39="Baja",S39="Catastrófico"),AND(O39="Media",S39="Catastrófico"),AND(O39="Alta",S39="Catastrófico"),AND(O39="Muy Alta",S39="Catastrófico")),"Extremo",""))))</f>
        <v>Moderado</v>
      </c>
      <c r="V39" s="142">
        <v>1</v>
      </c>
      <c r="W39" s="154" t="s">
        <v>363</v>
      </c>
      <c r="X39" s="92" t="str">
        <f>IF(OR(Y39="Preventivo",Y39="Detectivo"),"Probabilidad",IF(Y39="Correctivo","Impacto",""))</f>
        <v>Probabilidad</v>
      </c>
      <c r="Y39" s="93" t="s">
        <v>14</v>
      </c>
      <c r="Z39" s="93" t="s">
        <v>9</v>
      </c>
      <c r="AA39" s="94">
        <v>0.4</v>
      </c>
      <c r="AB39" s="93" t="s">
        <v>19</v>
      </c>
      <c r="AC39" s="93" t="s">
        <v>22</v>
      </c>
      <c r="AD39" s="93" t="s">
        <v>117</v>
      </c>
      <c r="AE39" s="181">
        <f>IFERROR(IF(X39="Probabilidad",(P39-(+P39*AA39)),IF(X39="Impacto",P39,"")),"")</f>
        <v>0.36</v>
      </c>
      <c r="AF39" s="95" t="str">
        <f>IFERROR(IF(AE39="","",IF(AE39&lt;=0.2,"Muy Baja",IF(AE39&lt;=0.4,"Baja",IF(AE39&lt;=0.6,"Media",IF(AE39&lt;=0.8,"Alta","Muy Alta"))))),"")</f>
        <v>Baja</v>
      </c>
      <c r="AG39" s="166">
        <f>+AE39</f>
        <v>0.36</v>
      </c>
      <c r="AH39" s="95" t="str">
        <f>IFERROR(IF(AI39="","",IF(AI39&lt;=0.2,"Leve",IF(AI39&lt;=0.4,"Menor",IF(AI39&lt;=0.6,"Moderado",IF(AI39&lt;=0.8,"Mayor","Catastrófico"))))),"")</f>
        <v>Menor</v>
      </c>
      <c r="AI39" s="166">
        <f>IFERROR(IF(X39="Impacto",(T39-(+T39*AA39)),IF(X39="Probabilidad",T39,"")),"")</f>
        <v>0.4</v>
      </c>
      <c r="AJ39" s="97" t="str">
        <f>IFERROR(IF(OR(AND(AF39="Muy Baja",AH39="Leve"),AND(AF39="Muy Baja",AH39="Menor"),AND(AF39="Baja",AH39="Leve")),"Bajo",IF(OR(AND(AF39="Muy baja",AH39="Moderado"),AND(AF39="Baja",AH39="Menor"),AND(AF39="Baja",AH39="Moderado"),AND(AF39="Media",AH39="Leve"),AND(AF39="Media",AH39="Menor"),AND(AF39="Media",AH39="Moderado"),AND(AF39="Alta",AH39="Leve"),AND(AF39="Alta",AH39="Menor")),"Moderado",IF(OR(AND(AF39="Muy Baja",AH39="Mayor"),AND(AF39="Baja",AH39="Mayor"),AND(AF39="Media",AH39="Mayor"),AND(AF39="Alta",AH39="Moderado"),AND(AF39="Alta",AH39="Mayor"),AND(AF39="Muy Alta",AH39="Leve"),AND(AF39="Muy Alta",AH39="Menor"),AND(AF39="Muy Alta",AH39="Moderado"),AND(AF39="Muy Alta",AH39="Mayor")),"Alto",IF(OR(AND(AF39="Muy Baja",AH39="Catastrófico"),AND(AF39="Baja",AH39="Catastrófico"),AND(AF39="Media",AH39="Catastrófico"),AND(AF39="Alta",AH39="Catastrófico"),AND(AF39="Muy Alta",AH39="Catastrófico")),"Extremo","")))),"")</f>
        <v>Moderado</v>
      </c>
      <c r="AK39" s="113" t="s">
        <v>132</v>
      </c>
      <c r="AL39" s="99" t="s">
        <v>364</v>
      </c>
      <c r="AM39" s="99" t="s">
        <v>365</v>
      </c>
      <c r="AN39" s="112" t="s">
        <v>366</v>
      </c>
      <c r="AO39" s="101">
        <v>44510</v>
      </c>
      <c r="AP39" s="99" t="s">
        <v>541</v>
      </c>
      <c r="AQ39" s="100" t="s">
        <v>41</v>
      </c>
      <c r="AR39" s="99" t="s">
        <v>367</v>
      </c>
    </row>
    <row r="40" spans="1:75" ht="64.5" customHeight="1" x14ac:dyDescent="0.3">
      <c r="A40" s="328" t="s">
        <v>368</v>
      </c>
      <c r="B40" s="331" t="s">
        <v>369</v>
      </c>
      <c r="C40" s="331" t="s">
        <v>370</v>
      </c>
      <c r="D40" s="331" t="s">
        <v>222</v>
      </c>
      <c r="E40" s="331" t="s">
        <v>130</v>
      </c>
      <c r="F40" s="331" t="s">
        <v>372</v>
      </c>
      <c r="G40" s="331" t="s">
        <v>373</v>
      </c>
      <c r="H40" s="331" t="s">
        <v>371</v>
      </c>
      <c r="I40" s="313" t="s">
        <v>230</v>
      </c>
      <c r="J40" s="313" t="s">
        <v>230</v>
      </c>
      <c r="K40" s="313" t="s">
        <v>230</v>
      </c>
      <c r="L40" s="313" t="s">
        <v>230</v>
      </c>
      <c r="M40" s="280" t="s">
        <v>121</v>
      </c>
      <c r="N40" s="316">
        <v>5001</v>
      </c>
      <c r="O40" s="319" t="str">
        <f>IF(N40&lt;=0,"",IF(N40&lt;=2,"Muy Baja",IF(N40&lt;=24,"Baja",IF(N40&lt;=500,"Media",IF(N40&lt;=5000,"Alta","Muy Alta")))))</f>
        <v>Muy Alta</v>
      </c>
      <c r="P40" s="322">
        <f>IF(O40="","",IF(O40="Muy Baja",0.2,IF(O40="Baja",0.4,IF(O40="Media",0.6,IF(O40="Alta",0.8,IF(O40="Muy Alta",1,))))))</f>
        <v>1</v>
      </c>
      <c r="Q40" s="325" t="s">
        <v>151</v>
      </c>
      <c r="R40" s="322" t="str">
        <f>IF(NOT(ISERROR(MATCH(Q40,'Tabla Impacto'!$B$221:$B$223,0))),'Tabla Impacto'!$F$223&amp;"Por favor no seleccionar los criterios de impacto(Afectación Económica o presupuestal y Pérdida Reputacional)",Q40)</f>
        <v xml:space="preserve">     El riesgo afecta la imagen de de la entidad con efecto publicitario sostenido a nivel de sector administrativo, nivel departamental o municipal</v>
      </c>
      <c r="S40" s="319" t="str">
        <f>IF(OR(R40='Tabla Impacto'!$C$11,R40='Tabla Impacto'!$D$11),"Leve",IF(OR(R40='Tabla Impacto'!$C$12,R40='Tabla Impacto'!$D$12),"Menor",IF(OR(R40='Tabla Impacto'!$C$13,R40='Tabla Impacto'!$D$13),"Moderado",IF(OR(R40='Tabla Impacto'!$C$14,R40='Tabla Impacto'!$D$14),"Mayor",IF(OR(R40='Tabla Impacto'!$C$15,R40='Tabla Impacto'!$D$15),"Catastrófico","")))))</f>
        <v>Mayor</v>
      </c>
      <c r="T40" s="322">
        <f>IF(S40="","",IF(S40="Leve",0.2,IF(S40="Menor",0.4,IF(S40="Moderado",0.6,IF(S40="Mayor",0.8,IF(S40="Catastrófico",1,))))))</f>
        <v>0.8</v>
      </c>
      <c r="U40" s="340" t="str">
        <f>IF(OR(AND(O40="Muy Baja",S40="Leve"),AND(O40="Muy Baja",S40="Menor"),AND(O40="Baja",S40="Leve")),"Bajo",IF(OR(AND(O40="Muy baja",S40="Moderado"),AND(O40="Baja",S40="Menor"),AND(O40="Baja",S40="Moderado"),AND(O40="Media",S40="Leve"),AND(O40="Media",S40="Menor"),AND(O40="Media",S40="Moderado"),AND(O40="Alta",S40="Leve"),AND(O40="Alta",S40="Menor")),"Moderado",IF(OR(AND(O40="Muy Baja",S40="Mayor"),AND(O40="Baja",S40="Mayor"),AND(O40="Media",S40="Mayor"),AND(O40="Alta",S40="Moderado"),AND(O40="Alta",S40="Mayor"),AND(O40="Muy Alta",S40="Leve"),AND(O40="Muy Alta",S40="Menor"),AND(O40="Muy Alta",S40="Moderado"),AND(O40="Muy Alta",S40="Mayor")),"Alto",IF(OR(AND(O40="Muy Baja",S40="Catastrófico"),AND(O40="Baja",S40="Catastrófico"),AND(O40="Media",S40="Catastrófico"),AND(O40="Alta",S40="Catastrófico"),AND(O40="Muy Alta",S40="Catastrófico")),"Extremo",""))))</f>
        <v>Alto</v>
      </c>
      <c r="V40" s="91">
        <v>1</v>
      </c>
      <c r="W40" s="103" t="s">
        <v>503</v>
      </c>
      <c r="X40" s="92" t="str">
        <f>IF(OR(Y40="Preventivo",Y40="Detectivo"),"Probabilidad",IF(Y40="Correctivo","Impacto",""))</f>
        <v>Probabilidad</v>
      </c>
      <c r="Y40" s="93" t="s">
        <v>14</v>
      </c>
      <c r="Z40" s="93" t="s">
        <v>9</v>
      </c>
      <c r="AA40" s="94">
        <v>0.4</v>
      </c>
      <c r="AB40" s="93" t="s">
        <v>19</v>
      </c>
      <c r="AC40" s="93" t="s">
        <v>22</v>
      </c>
      <c r="AD40" s="93" t="s">
        <v>117</v>
      </c>
      <c r="AE40" s="181">
        <f>IFERROR(IF(X40="Probabilidad",(P40-(+P40*AA40)),IF(X40="Impacto",P40,"")),"")</f>
        <v>0.6</v>
      </c>
      <c r="AF40" s="95" t="str">
        <f>IFERROR(IF(AE40="","",IF(AE40&lt;=0.2,"Muy Baja",IF(AE40&lt;=0.4,"Baja",IF(AE40&lt;=0.6,"Media",IF(AE40&lt;=0.8,"Alta","Muy Alta"))))),"")</f>
        <v>Media</v>
      </c>
      <c r="AG40" s="150">
        <f>+AE40</f>
        <v>0.6</v>
      </c>
      <c r="AH40" s="95" t="str">
        <f>IFERROR(IF(AI40="","",IF(AI40&lt;=0.2,"Leve",IF(AI40&lt;=0.4,"Menor",IF(AI40&lt;=0.6,"Moderado",IF(AI40&lt;=0.8,"Mayor","Catastrófico"))))),"")</f>
        <v>Mayor</v>
      </c>
      <c r="AI40" s="150">
        <f>IFERROR(IF(X40="Impacto",(T40-(+T40*AA40)),IF(X40="Probabilidad",T40,"")),"")</f>
        <v>0.8</v>
      </c>
      <c r="AJ40" s="97" t="str">
        <f>IFERROR(IF(OR(AND(AF40="Muy Baja",AH40="Leve"),AND(AF40="Muy Baja",AH40="Menor"),AND(AF40="Baja",AH40="Leve")),"Bajo",IF(OR(AND(AF40="Muy baja",AH40="Moderado"),AND(AF40="Baja",AH40="Menor"),AND(AF40="Baja",AH40="Moderado"),AND(AF40="Media",AH40="Leve"),AND(AF40="Media",AH40="Menor"),AND(AF40="Media",AH40="Moderado"),AND(AF40="Alta",AH40="Leve"),AND(AF40="Alta",AH40="Menor")),"Moderado",IF(OR(AND(AF40="Muy Baja",AH40="Mayor"),AND(AF40="Baja",AH40="Mayor"),AND(AF40="Media",AH40="Mayor"),AND(AF40="Alta",AH40="Moderado"),AND(AF40="Alta",AH40="Mayor"),AND(AF40="Muy Alta",AH40="Leve"),AND(AF40="Muy Alta",AH40="Menor"),AND(AF40="Muy Alta",AH40="Moderado"),AND(AF40="Muy Alta",AH40="Mayor")),"Alto",IF(OR(AND(AF40="Muy Baja",AH40="Catastrófico"),AND(AF40="Baja",AH40="Catastrófico"),AND(AF40="Media",AH40="Catastrófico"),AND(AF40="Alta",AH40="Catastrófico"),AND(AF40="Muy Alta",AH40="Catastrófico")),"Extremo","")))),"")</f>
        <v>Alto</v>
      </c>
      <c r="AK40" s="276" t="s">
        <v>132</v>
      </c>
      <c r="AL40" s="280" t="s">
        <v>499</v>
      </c>
      <c r="AM40" s="280" t="s">
        <v>374</v>
      </c>
      <c r="AN40" s="410" t="s">
        <v>375</v>
      </c>
      <c r="AO40" s="413">
        <v>44463</v>
      </c>
      <c r="AP40" s="280" t="s">
        <v>510</v>
      </c>
      <c r="AQ40" s="342" t="s">
        <v>41</v>
      </c>
      <c r="AR40" s="280" t="s">
        <v>376</v>
      </c>
      <c r="AS40" s="23"/>
    </row>
    <row r="41" spans="1:75" ht="117" customHeight="1" x14ac:dyDescent="0.3">
      <c r="A41" s="329"/>
      <c r="B41" s="332"/>
      <c r="C41" s="332"/>
      <c r="D41" s="332"/>
      <c r="E41" s="332"/>
      <c r="F41" s="332"/>
      <c r="G41" s="332"/>
      <c r="H41" s="332"/>
      <c r="I41" s="314"/>
      <c r="J41" s="314"/>
      <c r="K41" s="314"/>
      <c r="L41" s="314"/>
      <c r="M41" s="312"/>
      <c r="N41" s="317"/>
      <c r="O41" s="320"/>
      <c r="P41" s="323"/>
      <c r="Q41" s="326"/>
      <c r="R41" s="323"/>
      <c r="S41" s="320"/>
      <c r="T41" s="323"/>
      <c r="U41" s="349"/>
      <c r="V41" s="91">
        <v>2</v>
      </c>
      <c r="W41" s="103" t="s">
        <v>498</v>
      </c>
      <c r="X41" s="92" t="str">
        <f>IF(OR(Y41="Preventivo",Y41="Detectivo"),"Probabilidad",IF(Y41="Correctivo","Impacto",""))</f>
        <v>Probabilidad</v>
      </c>
      <c r="Y41" s="93" t="s">
        <v>14</v>
      </c>
      <c r="Z41" s="93" t="s">
        <v>9</v>
      </c>
      <c r="AA41" s="94" t="str">
        <f t="shared" ref="AA41:AA43" si="34">IF(AND(Y41="Preventivo",Z41="Automático"),"50%",IF(AND(Y41="Preventivo",Z41="Manual"),"40%",IF(AND(Y41="Detectivo",Z41="Automático"),"40%",IF(AND(Y41="Detectivo",Z41="Manual"),"30%",IF(AND(Y41="Correctivo",Z41="Automático"),"35%",IF(AND(Y41="Correctivo",Z41="Manual"),"25%",""))))))</f>
        <v>40%</v>
      </c>
      <c r="AB41" s="93" t="s">
        <v>19</v>
      </c>
      <c r="AC41" s="93" t="s">
        <v>22</v>
      </c>
      <c r="AD41" s="93" t="s">
        <v>117</v>
      </c>
      <c r="AE41" s="181">
        <f>IFERROR(IF(AND(X40="Probabilidad",X41="Probabilidad"),(AG40-(+AG40*AA41)),IF(X41="Probabilidad",(P40-(+P40*AA41)),IF(X41="Impacto",AG40,""))),"")</f>
        <v>0.36</v>
      </c>
      <c r="AF41" s="95" t="str">
        <f t="shared" ref="AF41:AF43" si="35">IFERROR(IF(AE41="","",IF(AE41&lt;=0.2,"Muy Baja",IF(AE41&lt;=0.4,"Baja",IF(AE41&lt;=0.6,"Media",IF(AE41&lt;=0.8,"Alta","Muy Alta"))))),"")</f>
        <v>Baja</v>
      </c>
      <c r="AG41" s="150">
        <f t="shared" ref="AG41:AG43" si="36">+AE41</f>
        <v>0.36</v>
      </c>
      <c r="AH41" s="95" t="str">
        <f t="shared" ref="AH41:AH43" si="37">IFERROR(IF(AI41="","",IF(AI41&lt;=0.2,"Leve",IF(AI41&lt;=0.4,"Menor",IF(AI41&lt;=0.6,"Moderado",IF(AI41&lt;=0.8,"Mayor","Catastrófico"))))),"")</f>
        <v>Mayor</v>
      </c>
      <c r="AI41" s="150">
        <f>IFERROR(IF(AND(X40="Impacto",X41="Impacto"),(AI40-(+AI40*AA41)),IF(X41="Impacto",($T$15-(+$T$15*AA41)),IF(X41="Probabilidad",AI40,""))),"")</f>
        <v>0.8</v>
      </c>
      <c r="AJ41" s="97" t="str">
        <f t="shared" ref="AJ41:AJ42" si="38">IFERROR(IF(OR(AND(AF41="Muy Baja",AH41="Leve"),AND(AF41="Muy Baja",AH41="Menor"),AND(AF41="Baja",AH41="Leve")),"Bajo",IF(OR(AND(AF41="Muy baja",AH41="Moderado"),AND(AF41="Baja",AH41="Menor"),AND(AF41="Baja",AH41="Moderado"),AND(AF41="Media",AH41="Leve"),AND(AF41="Media",AH41="Menor"),AND(AF41="Media",AH41="Moderado"),AND(AF41="Alta",AH41="Leve"),AND(AF41="Alta",AH41="Menor")),"Moderado",IF(OR(AND(AF41="Muy Baja",AH41="Mayor"),AND(AF41="Baja",AH41="Mayor"),AND(AF41="Media",AH41="Mayor"),AND(AF41="Alta",AH41="Moderado"),AND(AF41="Alta",AH41="Mayor"),AND(AF41="Muy Alta",AH41="Leve"),AND(AF41="Muy Alta",AH41="Menor"),AND(AF41="Muy Alta",AH41="Moderado"),AND(AF41="Muy Alta",AH41="Mayor")),"Alto",IF(OR(AND(AF41="Muy Baja",AH41="Catastrófico"),AND(AF41="Baja",AH41="Catastrófico"),AND(AF41="Media",AH41="Catastrófico"),AND(AF41="Alta",AH41="Catastrófico"),AND(AF41="Muy Alta",AH41="Catastrófico")),"Extremo","")))),"")</f>
        <v>Alto</v>
      </c>
      <c r="AK41" s="297"/>
      <c r="AL41" s="312"/>
      <c r="AM41" s="312"/>
      <c r="AN41" s="411"/>
      <c r="AO41" s="414"/>
      <c r="AP41" s="312"/>
      <c r="AQ41" s="343"/>
      <c r="AR41" s="312"/>
      <c r="AS41" s="6"/>
    </row>
    <row r="42" spans="1:75" ht="117" customHeight="1" x14ac:dyDescent="0.3">
      <c r="A42" s="329"/>
      <c r="B42" s="332"/>
      <c r="C42" s="332"/>
      <c r="D42" s="332"/>
      <c r="E42" s="332"/>
      <c r="F42" s="332"/>
      <c r="G42" s="332"/>
      <c r="H42" s="332"/>
      <c r="I42" s="314"/>
      <c r="J42" s="314"/>
      <c r="K42" s="314"/>
      <c r="L42" s="314"/>
      <c r="M42" s="312"/>
      <c r="N42" s="317"/>
      <c r="O42" s="320"/>
      <c r="P42" s="323"/>
      <c r="Q42" s="326"/>
      <c r="R42" s="323"/>
      <c r="S42" s="320"/>
      <c r="T42" s="323"/>
      <c r="U42" s="349"/>
      <c r="V42" s="91">
        <v>3</v>
      </c>
      <c r="W42" s="102" t="s">
        <v>500</v>
      </c>
      <c r="X42" s="92" t="str">
        <f>IF(OR(Y42="Preventivo",Y42="Detectivo"),"Probabilidad",IF(Y42="Correctivo","Impacto",""))</f>
        <v>Probabilidad</v>
      </c>
      <c r="Y42" s="93" t="s">
        <v>14</v>
      </c>
      <c r="Z42" s="93" t="s">
        <v>9</v>
      </c>
      <c r="AA42" s="94" t="str">
        <f t="shared" si="34"/>
        <v>40%</v>
      </c>
      <c r="AB42" s="93" t="s">
        <v>19</v>
      </c>
      <c r="AC42" s="93" t="s">
        <v>22</v>
      </c>
      <c r="AD42" s="93" t="s">
        <v>117</v>
      </c>
      <c r="AE42" s="181">
        <f>IFERROR(IF(AND(X41="Probabilidad",X42="Probabilidad"),(AG41-(+AG41*AA42)),IF(AND(X41="Impacto",X42="Probabilidad"),(AG40-(+AG40*AA42)),IF(X42="Impacto",AG41,""))),"")</f>
        <v>0.216</v>
      </c>
      <c r="AF42" s="95" t="str">
        <f t="shared" si="35"/>
        <v>Baja</v>
      </c>
      <c r="AG42" s="150">
        <f t="shared" si="36"/>
        <v>0.216</v>
      </c>
      <c r="AH42" s="95" t="str">
        <f t="shared" si="37"/>
        <v>Mayor</v>
      </c>
      <c r="AI42" s="150">
        <f>IFERROR(IF(AND(X41="Impacto",X42="Impacto"),(AI41-(+AI41*AA42)),IF(AND(X41="Probabilidad",X42="Impacto"),(AI40-(+AI40*AA42)),IF(X42="Probabilidad",AI41,""))),"")</f>
        <v>0.8</v>
      </c>
      <c r="AJ42" s="97" t="str">
        <f t="shared" si="38"/>
        <v>Alto</v>
      </c>
      <c r="AK42" s="297"/>
      <c r="AL42" s="312"/>
      <c r="AM42" s="312"/>
      <c r="AN42" s="411"/>
      <c r="AO42" s="414"/>
      <c r="AP42" s="312"/>
      <c r="AQ42" s="343"/>
      <c r="AR42" s="312"/>
      <c r="AS42" s="6"/>
    </row>
    <row r="43" spans="1:75" ht="117" customHeight="1" x14ac:dyDescent="0.3">
      <c r="A43" s="330"/>
      <c r="B43" s="333"/>
      <c r="C43" s="333"/>
      <c r="D43" s="333"/>
      <c r="E43" s="333"/>
      <c r="F43" s="333"/>
      <c r="G43" s="333"/>
      <c r="H43" s="333"/>
      <c r="I43" s="315"/>
      <c r="J43" s="315"/>
      <c r="K43" s="315"/>
      <c r="L43" s="315"/>
      <c r="M43" s="281"/>
      <c r="N43" s="318"/>
      <c r="O43" s="321"/>
      <c r="P43" s="324"/>
      <c r="Q43" s="327"/>
      <c r="R43" s="324"/>
      <c r="S43" s="321"/>
      <c r="T43" s="324"/>
      <c r="U43" s="341"/>
      <c r="V43" s="91">
        <v>4</v>
      </c>
      <c r="W43" s="103" t="s">
        <v>381</v>
      </c>
      <c r="X43" s="92" t="str">
        <f t="shared" ref="X43" si="39">IF(OR(Y43="Preventivo",Y43="Detectivo"),"Probabilidad",IF(Y43="Correctivo","Impacto",""))</f>
        <v>Impacto</v>
      </c>
      <c r="Y43" s="93" t="s">
        <v>16</v>
      </c>
      <c r="Z43" s="93" t="s">
        <v>9</v>
      </c>
      <c r="AA43" s="94" t="str">
        <f t="shared" si="34"/>
        <v>25%</v>
      </c>
      <c r="AB43" s="93" t="s">
        <v>19</v>
      </c>
      <c r="AC43" s="93" t="s">
        <v>22</v>
      </c>
      <c r="AD43" s="93" t="s">
        <v>117</v>
      </c>
      <c r="AE43" s="181">
        <f t="shared" ref="AE43" si="40">IFERROR(IF(AND(X42="Probabilidad",X43="Probabilidad"),(AG42-(+AG42*AA43)),IF(AND(X42="Impacto",X43="Probabilidad"),(AG41-(+AG41*AA43)),IF(X43="Impacto",AG42,""))),"")</f>
        <v>0.216</v>
      </c>
      <c r="AF43" s="95" t="str">
        <f t="shared" si="35"/>
        <v>Baja</v>
      </c>
      <c r="AG43" s="150">
        <f t="shared" si="36"/>
        <v>0.216</v>
      </c>
      <c r="AH43" s="95" t="str">
        <f t="shared" si="37"/>
        <v>Moderado</v>
      </c>
      <c r="AI43" s="150">
        <f t="shared" ref="AI43" si="41">IFERROR(IF(AND(X42="Impacto",X43="Impacto"),(AI42-(+AI42*AA43)),IF(AND(X42="Probabilidad",X43="Impacto"),(AI41-(+AI41*AA43)),IF(X43="Probabilidad",AI42,""))),"")</f>
        <v>0.60000000000000009</v>
      </c>
      <c r="AJ43" s="97" t="str">
        <f>IFERROR(IF(OR(AND(AF43="Muy Baja",AH43="Leve"),AND(AF43="Muy Baja",AH43="Menor"),AND(AF43="Baja",AH43="Leve")),"Bajo",IF(OR(AND(AF43="Muy baja",AH43="Moderado"),AND(AF43="Baja",AH43="Menor"),AND(AF43="Baja",AH43="Moderado"),AND(AF43="Media",AH43="Leve"),AND(AF43="Media",AH43="Menor"),AND(AF43="Media",AH43="Moderado"),AND(AF43="Alta",AH43="Leve"),AND(AF43="Alta",AH43="Menor")),"Moderado",IF(OR(AND(AF43="Muy Baja",AH43="Mayor"),AND(AF43="Baja",AH43="Mayor"),AND(AF43="Media",AH43="Mayor"),AND(AF43="Alta",AH43="Moderado"),AND(AF43="Alta",AH43="Mayor"),AND(AF43="Muy Alta",AH43="Leve"),AND(AF43="Muy Alta",AH43="Menor"),AND(AF43="Muy Alta",AH43="Moderado"),AND(AF43="Muy Alta",AH43="Mayor")),"Alto",IF(OR(AND(AF43="Muy Baja",AH43="Catastrófico"),AND(AF43="Baja",AH43="Catastrófico"),AND(AF43="Media",AH43="Catastrófico"),AND(AF43="Alta",AH43="Catastrófico"),AND(AF43="Muy Alta",AH43="Catastrófico")),"Extremo","")))),"")</f>
        <v>Moderado</v>
      </c>
      <c r="AK43" s="277"/>
      <c r="AL43" s="281"/>
      <c r="AM43" s="281"/>
      <c r="AN43" s="412"/>
      <c r="AO43" s="415"/>
      <c r="AP43" s="281"/>
      <c r="AQ43" s="380"/>
      <c r="AR43" s="281"/>
      <c r="AS43" s="6"/>
    </row>
    <row r="44" spans="1:75" ht="50.25" customHeight="1" x14ac:dyDescent="0.3">
      <c r="A44" s="328" t="s">
        <v>377</v>
      </c>
      <c r="B44" s="331" t="s">
        <v>369</v>
      </c>
      <c r="C44" s="331" t="s">
        <v>370</v>
      </c>
      <c r="D44" s="331" t="s">
        <v>222</v>
      </c>
      <c r="E44" s="331" t="s">
        <v>130</v>
      </c>
      <c r="F44" s="331" t="s">
        <v>378</v>
      </c>
      <c r="G44" s="331" t="s">
        <v>380</v>
      </c>
      <c r="H44" s="331" t="s">
        <v>379</v>
      </c>
      <c r="I44" s="313" t="s">
        <v>230</v>
      </c>
      <c r="J44" s="313" t="s">
        <v>230</v>
      </c>
      <c r="K44" s="313" t="s">
        <v>230</v>
      </c>
      <c r="L44" s="313" t="s">
        <v>230</v>
      </c>
      <c r="M44" s="280" t="s">
        <v>121</v>
      </c>
      <c r="N44" s="316">
        <v>2000</v>
      </c>
      <c r="O44" s="319" t="str">
        <f t="shared" ref="O44" si="42">IF(N44&lt;=0,"",IF(N44&lt;=2,"Muy Baja",IF(N44&lt;=24,"Baja",IF(N44&lt;=500,"Media",IF(N44&lt;=5000,"Alta","Muy Alta")))))</f>
        <v>Alta</v>
      </c>
      <c r="P44" s="322">
        <f t="shared" ref="P44" si="43">IF(O44="","",IF(O44="Muy Baja",0.2,IF(O44="Baja",0.4,IF(O44="Media",0.6,IF(O44="Alta",0.8,IF(O44="Muy Alta",1,))))))</f>
        <v>0.8</v>
      </c>
      <c r="Q44" s="325" t="s">
        <v>150</v>
      </c>
      <c r="R44" s="322" t="str">
        <f>IF(NOT(ISERROR(MATCH(Q44,'Tabla Impacto'!$B$221:$B$223,0))),'Tabla Impacto'!$F$223&amp;"Por favor no seleccionar los criterios de impacto(Afectación Económica o presupuestal y Pérdida Reputacional)",Q44)</f>
        <v xml:space="preserve">     El riesgo afecta la imagen de la entidad con algunos usuarios de relevancia frente al logro de los objetivos</v>
      </c>
      <c r="S44" s="319" t="str">
        <f>IF(OR(R44='Tabla Impacto'!$C$11,R44='Tabla Impacto'!$D$11),"Leve",IF(OR(R44='Tabla Impacto'!$C$12,R44='Tabla Impacto'!$D$12),"Menor",IF(OR(R44='Tabla Impacto'!$C$13,R44='Tabla Impacto'!$D$13),"Moderado",IF(OR(R44='Tabla Impacto'!$C$14,R44='Tabla Impacto'!$D$14),"Mayor",IF(OR(R44='Tabla Impacto'!$C$15,R44='Tabla Impacto'!$D$15),"Catastrófico","")))))</f>
        <v>Moderado</v>
      </c>
      <c r="T44" s="322">
        <f t="shared" ref="T44" si="44">IF(S44="","",IF(S44="Leve",0.2,IF(S44="Menor",0.4,IF(S44="Moderado",0.6,IF(S44="Mayor",0.8,IF(S44="Catastrófico",1,))))))</f>
        <v>0.6</v>
      </c>
      <c r="U44" s="340" t="str">
        <f t="shared" ref="U44" si="45">IF(OR(AND(O44="Muy Baja",S44="Leve"),AND(O44="Muy Baja",S44="Menor"),AND(O44="Baja",S44="Leve")),"Bajo",IF(OR(AND(O44="Muy baja",S44="Moderado"),AND(O44="Baja",S44="Menor"),AND(O44="Baja",S44="Moderado"),AND(O44="Media",S44="Leve"),AND(O44="Media",S44="Menor"),AND(O44="Media",S44="Moderado"),AND(O44="Alta",S44="Leve"),AND(O44="Alta",S44="Menor")),"Moderado",IF(OR(AND(O44="Muy Baja",S44="Mayor"),AND(O44="Baja",S44="Mayor"),AND(O44="Media",S44="Mayor"),AND(O44="Alta",S44="Moderado"),AND(O44="Alta",S44="Mayor"),AND(O44="Muy Alta",S44="Leve"),AND(O44="Muy Alta",S44="Menor"),AND(O44="Muy Alta",S44="Moderado"),AND(O44="Muy Alta",S44="Mayor")),"Alto",IF(OR(AND(O44="Muy Baja",S44="Catastrófico"),AND(O44="Baja",S44="Catastrófico"),AND(O44="Media",S44="Catastrófico"),AND(O44="Alta",S44="Catastrófico"),AND(O44="Muy Alta",S44="Catastrófico")),"Extremo",""))))</f>
        <v>Alto</v>
      </c>
      <c r="V44" s="334">
        <v>1</v>
      </c>
      <c r="W44" s="347" t="s">
        <v>501</v>
      </c>
      <c r="X44" s="301" t="str">
        <f>IF(OR(Y44="Preventivo",Y44="Detectivo"),"Probabilidad",IF(Y44="Correctivo","Impacto",""))</f>
        <v>Probabilidad</v>
      </c>
      <c r="Y44" s="304" t="s">
        <v>14</v>
      </c>
      <c r="Z44" s="276" t="s">
        <v>9</v>
      </c>
      <c r="AA44" s="278">
        <v>0.4</v>
      </c>
      <c r="AB44" s="276" t="s">
        <v>19</v>
      </c>
      <c r="AC44" s="276" t="s">
        <v>22</v>
      </c>
      <c r="AD44" s="276" t="s">
        <v>117</v>
      </c>
      <c r="AE44" s="298">
        <f>IFERROR(IF(X44="Probabilidad",(P44-(+P44*AA44)),IF(X44="Impacto",P44,"")),"")</f>
        <v>0.48</v>
      </c>
      <c r="AF44" s="282" t="str">
        <f>IFERROR(IF(AE44="","",IF(AE44&lt;=0.2,"Muy Baja",IF(AE44&lt;=0.4,"Baja",IF(AE44&lt;=0.6,"Media",IF(AE44&lt;=0.8,"Alta","Muy Alta"))))),"")</f>
        <v>Media</v>
      </c>
      <c r="AG44" s="278">
        <f>+AE44</f>
        <v>0.48</v>
      </c>
      <c r="AH44" s="282" t="str">
        <f>IFERROR(IF(AI44="","",IF(AI44&lt;=0.2,"Leve",IF(AI44&lt;=0.4,"Menor",IF(AI44&lt;=0.6,"Moderado",IF(AI44&lt;=0.8,"Mayor","Catastrófico"))))),"")</f>
        <v>Moderado</v>
      </c>
      <c r="AI44" s="278">
        <f>IFERROR(IF(X44="Impacto",(T44-(+T44*AA44)),IF(X44="Probabilidad",T44,"")),"")</f>
        <v>0.6</v>
      </c>
      <c r="AJ44" s="284" t="str">
        <f>IFERROR(IF(OR(AND(AF44="Muy Baja",AH44="Leve"),AND(AF44="Muy Baja",AH44="Menor"),AND(AF44="Baja",AH44="Leve")),"Bajo",IF(OR(AND(AF44="Muy baja",AH44="Moderado"),AND(AF44="Baja",AH44="Menor"),AND(AF44="Baja",AH44="Moderado"),AND(AF44="Media",AH44="Leve"),AND(AF44="Media",AH44="Menor"),AND(AF44="Media",AH44="Moderado"),AND(AF44="Alta",AH44="Leve"),AND(AF44="Alta",AH44="Menor")),"Moderado",IF(OR(AND(AF44="Muy Baja",AH44="Mayor"),AND(AF44="Baja",AH44="Mayor"),AND(AF44="Media",AH44="Mayor"),AND(AF44="Alta",AH44="Moderado"),AND(AF44="Alta",AH44="Mayor"),AND(AF44="Muy Alta",AH44="Leve"),AND(AF44="Muy Alta",AH44="Menor"),AND(AF44="Muy Alta",AH44="Moderado"),AND(AF44="Muy Alta",AH44="Mayor")),"Alto",IF(OR(AND(AF44="Muy Baja",AH44="Catastrófico"),AND(AF44="Baja",AH44="Catastrófico"),AND(AF44="Media",AH44="Catastrófico"),AND(AF44="Alta",AH44="Catastrófico"),AND(AF44="Muy Alta",AH44="Catastrófico")),"Extremo","")))),"")</f>
        <v>Moderado</v>
      </c>
      <c r="AK44" s="276" t="s">
        <v>132</v>
      </c>
      <c r="AL44" s="99" t="s">
        <v>383</v>
      </c>
      <c r="AM44" s="99" t="s">
        <v>374</v>
      </c>
      <c r="AN44" s="112" t="s">
        <v>384</v>
      </c>
      <c r="AO44" s="101">
        <v>44463</v>
      </c>
      <c r="AP44" s="99" t="s">
        <v>502</v>
      </c>
      <c r="AQ44" s="100" t="s">
        <v>41</v>
      </c>
      <c r="AR44" s="99" t="s">
        <v>386</v>
      </c>
    </row>
    <row r="45" spans="1:75" ht="68.25" customHeight="1" x14ac:dyDescent="0.3">
      <c r="A45" s="330"/>
      <c r="B45" s="333"/>
      <c r="C45" s="333"/>
      <c r="D45" s="333"/>
      <c r="E45" s="333"/>
      <c r="F45" s="333"/>
      <c r="G45" s="333"/>
      <c r="H45" s="333"/>
      <c r="I45" s="315"/>
      <c r="J45" s="315"/>
      <c r="K45" s="315"/>
      <c r="L45" s="315"/>
      <c r="M45" s="312"/>
      <c r="N45" s="318"/>
      <c r="O45" s="321"/>
      <c r="P45" s="324"/>
      <c r="Q45" s="327"/>
      <c r="R45" s="324"/>
      <c r="S45" s="321"/>
      <c r="T45" s="324"/>
      <c r="U45" s="341"/>
      <c r="V45" s="336"/>
      <c r="W45" s="348"/>
      <c r="X45" s="303"/>
      <c r="Y45" s="305"/>
      <c r="Z45" s="277"/>
      <c r="AA45" s="279"/>
      <c r="AB45" s="277"/>
      <c r="AC45" s="277"/>
      <c r="AD45" s="277"/>
      <c r="AE45" s="300"/>
      <c r="AF45" s="283"/>
      <c r="AG45" s="279"/>
      <c r="AH45" s="283"/>
      <c r="AI45" s="279"/>
      <c r="AJ45" s="285"/>
      <c r="AK45" s="277"/>
      <c r="AL45" s="99" t="s">
        <v>382</v>
      </c>
      <c r="AM45" s="99" t="s">
        <v>374</v>
      </c>
      <c r="AN45" s="112" t="s">
        <v>385</v>
      </c>
      <c r="AO45" s="101">
        <v>44463</v>
      </c>
      <c r="AP45" s="99" t="s">
        <v>502</v>
      </c>
      <c r="AQ45" s="100" t="s">
        <v>41</v>
      </c>
      <c r="AR45" s="99" t="s">
        <v>386</v>
      </c>
    </row>
    <row r="46" spans="1:75" ht="60.75" customHeight="1" x14ac:dyDescent="0.3">
      <c r="A46" s="328" t="s">
        <v>387</v>
      </c>
      <c r="B46" s="331" t="s">
        <v>388</v>
      </c>
      <c r="C46" s="331" t="s">
        <v>389</v>
      </c>
      <c r="D46" s="331" t="s">
        <v>222</v>
      </c>
      <c r="E46" s="331" t="s">
        <v>130</v>
      </c>
      <c r="F46" s="331" t="s">
        <v>391</v>
      </c>
      <c r="G46" s="331" t="s">
        <v>392</v>
      </c>
      <c r="H46" s="331" t="s">
        <v>390</v>
      </c>
      <c r="I46" s="313" t="s">
        <v>230</v>
      </c>
      <c r="J46" s="313" t="s">
        <v>230</v>
      </c>
      <c r="K46" s="313" t="s">
        <v>230</v>
      </c>
      <c r="L46" s="313" t="s">
        <v>230</v>
      </c>
      <c r="M46" s="280" t="s">
        <v>121</v>
      </c>
      <c r="N46" s="316">
        <v>365</v>
      </c>
      <c r="O46" s="319" t="str">
        <f>IF(N46&lt;=0,"",IF(N46&lt;=2,"Muy Baja",IF(N46&lt;=24,"Baja",IF(N46&lt;=500,"Media",IF(N46&lt;=5000,"Alta","Muy Alta")))))</f>
        <v>Media</v>
      </c>
      <c r="P46" s="322">
        <f>IF(O46="","",IF(O46="Muy Baja",0.2,IF(O46="Baja",0.4,IF(O46="Media",0.6,IF(O46="Alta",0.8,IF(O46="Muy Alta",1,))))))</f>
        <v>0.6</v>
      </c>
      <c r="Q46" s="325" t="s">
        <v>149</v>
      </c>
      <c r="R46" s="322" t="str">
        <f>IF(NOT(ISERROR(MATCH(Q46,'Tabla Impacto'!$B$221:$B$223,0))),'Tabla Impacto'!$F$223&amp;"Por favor no seleccionar los criterios de impacto(Afectación Económica o presupuestal y Pérdida Reputacional)",Q46)</f>
        <v xml:space="preserve">     El riesgo afecta la imagen de la entidad internamente, de conocimiento general, nivel interno, de junta dircetiva y accionistas y/o de provedores</v>
      </c>
      <c r="S46" s="319" t="str">
        <f>IF(OR(R46='Tabla Impacto'!$C$11,R46='Tabla Impacto'!$D$11),"Leve",IF(OR(R46='Tabla Impacto'!$C$12,R46='Tabla Impacto'!$D$12),"Menor",IF(OR(R46='Tabla Impacto'!$C$13,R46='Tabla Impacto'!$D$13),"Moderado",IF(OR(R46='Tabla Impacto'!$C$14,R46='Tabla Impacto'!$D$14),"Mayor",IF(OR(R46='Tabla Impacto'!$C$15,R46='Tabla Impacto'!$D$15),"Catastrófico","")))))</f>
        <v>Menor</v>
      </c>
      <c r="T46" s="322">
        <f>IF(S46="","",IF(S46="Leve",0.2,IF(S46="Menor",0.4,IF(S46="Moderado",0.6,IF(S46="Mayor",0.8,IF(S46="Catastrófico",1,))))))</f>
        <v>0.4</v>
      </c>
      <c r="U46" s="340" t="str">
        <f>IF(OR(AND(O46="Muy Baja",S46="Leve"),AND(O46="Muy Baja",S46="Menor"),AND(O46="Baja",S46="Leve")),"Bajo",IF(OR(AND(O46="Muy baja",S46="Moderado"),AND(O46="Baja",S46="Menor"),AND(O46="Baja",S46="Moderado"),AND(O46="Media",S46="Leve"),AND(O46="Media",S46="Menor"),AND(O46="Media",S46="Moderado"),AND(O46="Alta",S46="Leve"),AND(O46="Alta",S46="Menor")),"Moderado",IF(OR(AND(O46="Muy Baja",S46="Mayor"),AND(O46="Baja",S46="Mayor"),AND(O46="Media",S46="Mayor"),AND(O46="Alta",S46="Moderado"),AND(O46="Alta",S46="Mayor"),AND(O46="Muy Alta",S46="Leve"),AND(O46="Muy Alta",S46="Menor"),AND(O46="Muy Alta",S46="Moderado"),AND(O46="Muy Alta",S46="Mayor")),"Alto",IF(OR(AND(O46="Muy Baja",S46="Catastrófico"),AND(O46="Baja",S46="Catastrófico"),AND(O46="Media",S46="Catastrófico"),AND(O46="Alta",S46="Catastrófico"),AND(O46="Muy Alta",S46="Catastrófico")),"Extremo",""))))</f>
        <v>Moderado</v>
      </c>
      <c r="V46" s="334">
        <v>1</v>
      </c>
      <c r="W46" s="344" t="s">
        <v>393</v>
      </c>
      <c r="X46" s="301" t="str">
        <f>IF(OR(Y46="Preventivo",Y46="Detectivo"),"Probabilidad",IF(Y46="Correctivo","Impacto",""))</f>
        <v>Probabilidad</v>
      </c>
      <c r="Y46" s="304" t="s">
        <v>14</v>
      </c>
      <c r="Z46" s="276" t="s">
        <v>9</v>
      </c>
      <c r="AA46" s="288" t="str">
        <f t="shared" ref="AA46" si="46">IF(AND(Y46="Preventivo",Z46="Automático"),"50%",IF(AND(Y46="Preventivo",Z46="Manual"),"40%",IF(AND(Y46="Detectivo",Z46="Automático"),"40%",IF(AND(Y46="Detectivo",Z46="Manual"),"30%",IF(AND(Y46="Correctivo",Z46="Automático"),"35%",IF(AND(Y46="Correctivo",Z46="Manual"),"25%",""))))))</f>
        <v>40%</v>
      </c>
      <c r="AB46" s="276" t="s">
        <v>19</v>
      </c>
      <c r="AC46" s="307" t="s">
        <v>22</v>
      </c>
      <c r="AD46" s="276" t="s">
        <v>117</v>
      </c>
      <c r="AE46" s="298">
        <f t="shared" ref="AE46" si="47">IFERROR(IF(X46="Probabilidad",(P46-(+P46*AA46)),IF(X46="Impacto",P46,"")),"")</f>
        <v>0.36</v>
      </c>
      <c r="AF46" s="282" t="str">
        <f t="shared" ref="AF46" si="48">IFERROR(IF(AE46="","",IF(AE46&lt;=0.2,"Muy Baja",IF(AE46&lt;=0.4,"Baja",IF(AE46&lt;=0.6,"Media",IF(AE46&lt;=0.8,"Alta","Muy Alta"))))),"")</f>
        <v>Baja</v>
      </c>
      <c r="AG46" s="288">
        <f t="shared" ref="AG46" si="49">+AE46</f>
        <v>0.36</v>
      </c>
      <c r="AH46" s="282" t="str">
        <f t="shared" ref="AH46" si="50">IFERROR(IF(AI46="","",IF(AI46&lt;=0.2,"Leve",IF(AI46&lt;=0.4,"Menor",IF(AI46&lt;=0.6,"Moderado",IF(AI46&lt;=0.8,"Mayor","Catastrófico"))))),"")</f>
        <v>Menor</v>
      </c>
      <c r="AI46" s="288">
        <f t="shared" ref="AI46" si="51">IFERROR(IF(X46="Impacto",(T46-(+T46*AA46)),IF(X46="Probabilidad",T46,"")),"")</f>
        <v>0.4</v>
      </c>
      <c r="AJ46" s="284" t="str">
        <f t="shared" ref="AJ46" si="52">IFERROR(IF(OR(AND(AF46="Muy Baja",AH46="Leve"),AND(AF46="Muy Baja",AH46="Menor"),AND(AF46="Baja",AH46="Leve")),"Bajo",IF(OR(AND(AF46="Muy baja",AH46="Moderado"),AND(AF46="Baja",AH46="Menor"),AND(AF46="Baja",AH46="Moderado"),AND(AF46="Media",AH46="Leve"),AND(AF46="Media",AH46="Menor"),AND(AF46="Media",AH46="Moderado"),AND(AF46="Alta",AH46="Leve"),AND(AF46="Alta",AH46="Menor")),"Moderado",IF(OR(AND(AF46="Muy Baja",AH46="Mayor"),AND(AF46="Baja",AH46="Mayor"),AND(AF46="Media",AH46="Mayor"),AND(AF46="Alta",AH46="Moderado"),AND(AF46="Alta",AH46="Mayor"),AND(AF46="Muy Alta",AH46="Leve"),AND(AF46="Muy Alta",AH46="Menor"),AND(AF46="Muy Alta",AH46="Moderado"),AND(AF46="Muy Alta",AH46="Mayor")),"Alto",IF(OR(AND(AF46="Muy Baja",AH46="Catastrófico"),AND(AF46="Baja",AH46="Catastrófico"),AND(AF46="Media",AH46="Catastrófico"),AND(AF46="Alta",AH46="Catastrófico"),AND(AF46="Muy Alta",AH46="Catastrófico")),"Extremo","")))),"")</f>
        <v>Moderado</v>
      </c>
      <c r="AK46" s="293" t="s">
        <v>132</v>
      </c>
      <c r="AL46" s="99" t="s">
        <v>394</v>
      </c>
      <c r="AM46" s="99" t="s">
        <v>398</v>
      </c>
      <c r="AN46" s="112" t="s">
        <v>399</v>
      </c>
      <c r="AO46" s="101">
        <v>44518</v>
      </c>
      <c r="AP46" s="99" t="s">
        <v>561</v>
      </c>
      <c r="AQ46" s="100" t="s">
        <v>40</v>
      </c>
      <c r="AR46" s="99" t="s">
        <v>562</v>
      </c>
    </row>
    <row r="47" spans="1:75" ht="65.25" customHeight="1" x14ac:dyDescent="0.3">
      <c r="A47" s="329"/>
      <c r="B47" s="332"/>
      <c r="C47" s="332"/>
      <c r="D47" s="332"/>
      <c r="E47" s="332"/>
      <c r="F47" s="332"/>
      <c r="G47" s="332"/>
      <c r="H47" s="332"/>
      <c r="I47" s="314"/>
      <c r="J47" s="314"/>
      <c r="K47" s="314"/>
      <c r="L47" s="314"/>
      <c r="M47" s="312"/>
      <c r="N47" s="317"/>
      <c r="O47" s="320"/>
      <c r="P47" s="323"/>
      <c r="Q47" s="326"/>
      <c r="R47" s="323"/>
      <c r="S47" s="320"/>
      <c r="T47" s="323"/>
      <c r="U47" s="349"/>
      <c r="V47" s="335"/>
      <c r="W47" s="345"/>
      <c r="X47" s="302"/>
      <c r="Y47" s="305"/>
      <c r="Z47" s="297"/>
      <c r="AA47" s="289"/>
      <c r="AB47" s="297"/>
      <c r="AC47" s="308"/>
      <c r="AD47" s="297"/>
      <c r="AE47" s="299"/>
      <c r="AF47" s="291"/>
      <c r="AG47" s="289"/>
      <c r="AH47" s="291"/>
      <c r="AI47" s="289"/>
      <c r="AJ47" s="292"/>
      <c r="AK47" s="294"/>
      <c r="AL47" s="99" t="s">
        <v>395</v>
      </c>
      <c r="AM47" s="99" t="s">
        <v>398</v>
      </c>
      <c r="AN47" s="112" t="s">
        <v>399</v>
      </c>
      <c r="AO47" s="101">
        <v>44518</v>
      </c>
      <c r="AP47" s="99" t="s">
        <v>563</v>
      </c>
      <c r="AQ47" s="100" t="s">
        <v>40</v>
      </c>
      <c r="AR47" s="99" t="s">
        <v>402</v>
      </c>
    </row>
    <row r="48" spans="1:75" ht="135" customHeight="1" x14ac:dyDescent="0.3">
      <c r="A48" s="329"/>
      <c r="B48" s="332"/>
      <c r="C48" s="332"/>
      <c r="D48" s="332"/>
      <c r="E48" s="332"/>
      <c r="F48" s="332"/>
      <c r="G48" s="332"/>
      <c r="H48" s="332"/>
      <c r="I48" s="314"/>
      <c r="J48" s="314"/>
      <c r="K48" s="314"/>
      <c r="L48" s="314"/>
      <c r="M48" s="312"/>
      <c r="N48" s="317"/>
      <c r="O48" s="320"/>
      <c r="P48" s="323"/>
      <c r="Q48" s="326"/>
      <c r="R48" s="323"/>
      <c r="S48" s="320"/>
      <c r="T48" s="323"/>
      <c r="U48" s="349"/>
      <c r="V48" s="335"/>
      <c r="W48" s="345"/>
      <c r="X48" s="302"/>
      <c r="Y48" s="305"/>
      <c r="Z48" s="297"/>
      <c r="AA48" s="289"/>
      <c r="AB48" s="297"/>
      <c r="AC48" s="308"/>
      <c r="AD48" s="297"/>
      <c r="AE48" s="299"/>
      <c r="AF48" s="291"/>
      <c r="AG48" s="289"/>
      <c r="AH48" s="291"/>
      <c r="AI48" s="289" t="str">
        <f t="shared" ref="AI48" si="53">IFERROR(IF(X48="Impacto",(T48-(+T48*AA48)),IF(X48="Probabilidad",T48,"")),"")</f>
        <v/>
      </c>
      <c r="AJ48" s="292"/>
      <c r="AK48" s="294"/>
      <c r="AL48" s="99" t="s">
        <v>396</v>
      </c>
      <c r="AM48" s="99" t="s">
        <v>398</v>
      </c>
      <c r="AN48" s="112" t="s">
        <v>400</v>
      </c>
      <c r="AO48" s="101">
        <v>44518</v>
      </c>
      <c r="AP48" s="99" t="s">
        <v>564</v>
      </c>
      <c r="AQ48" s="100" t="s">
        <v>40</v>
      </c>
      <c r="AR48" s="99" t="s">
        <v>403</v>
      </c>
    </row>
    <row r="49" spans="1:44" ht="75" customHeight="1" x14ac:dyDescent="0.3">
      <c r="A49" s="329"/>
      <c r="B49" s="332"/>
      <c r="C49" s="332"/>
      <c r="D49" s="332"/>
      <c r="E49" s="333"/>
      <c r="F49" s="332"/>
      <c r="G49" s="332"/>
      <c r="H49" s="332"/>
      <c r="I49" s="315"/>
      <c r="J49" s="315"/>
      <c r="K49" s="315"/>
      <c r="L49" s="315"/>
      <c r="M49" s="312"/>
      <c r="N49" s="318"/>
      <c r="O49" s="321"/>
      <c r="P49" s="324"/>
      <c r="Q49" s="327"/>
      <c r="R49" s="324"/>
      <c r="S49" s="321"/>
      <c r="T49" s="324"/>
      <c r="U49" s="341"/>
      <c r="V49" s="336"/>
      <c r="W49" s="346"/>
      <c r="X49" s="303"/>
      <c r="Y49" s="306"/>
      <c r="Z49" s="277"/>
      <c r="AA49" s="290"/>
      <c r="AB49" s="277"/>
      <c r="AC49" s="309"/>
      <c r="AD49" s="277"/>
      <c r="AE49" s="300"/>
      <c r="AF49" s="283"/>
      <c r="AG49" s="290"/>
      <c r="AH49" s="283"/>
      <c r="AI49" s="290"/>
      <c r="AJ49" s="285"/>
      <c r="AK49" s="295"/>
      <c r="AL49" s="99" t="s">
        <v>397</v>
      </c>
      <c r="AM49" s="99" t="s">
        <v>398</v>
      </c>
      <c r="AN49" s="112" t="s">
        <v>401</v>
      </c>
      <c r="AO49" s="101">
        <v>44518</v>
      </c>
      <c r="AP49" s="99" t="s">
        <v>565</v>
      </c>
      <c r="AQ49" s="100" t="s">
        <v>40</v>
      </c>
      <c r="AR49" s="99" t="s">
        <v>566</v>
      </c>
    </row>
    <row r="50" spans="1:44" ht="109.5" customHeight="1" x14ac:dyDescent="0.3">
      <c r="A50" s="391" t="s">
        <v>404</v>
      </c>
      <c r="B50" s="331" t="s">
        <v>405</v>
      </c>
      <c r="C50" s="331" t="s">
        <v>406</v>
      </c>
      <c r="D50" s="331" t="s">
        <v>222</v>
      </c>
      <c r="E50" s="388" t="s">
        <v>130</v>
      </c>
      <c r="F50" s="331" t="s">
        <v>407</v>
      </c>
      <c r="G50" s="331" t="s">
        <v>408</v>
      </c>
      <c r="H50" s="331" t="s">
        <v>545</v>
      </c>
      <c r="I50" s="313" t="s">
        <v>230</v>
      </c>
      <c r="J50" s="313" t="s">
        <v>230</v>
      </c>
      <c r="K50" s="313" t="s">
        <v>230</v>
      </c>
      <c r="L50" s="313" t="s">
        <v>230</v>
      </c>
      <c r="M50" s="280" t="s">
        <v>121</v>
      </c>
      <c r="N50" s="316">
        <v>40</v>
      </c>
      <c r="O50" s="319" t="str">
        <f t="shared" ref="O50" si="54">IF(N50&lt;=0,"",IF(N50&lt;=2,"Muy Baja",IF(N50&lt;=24,"Baja",IF(N50&lt;=500,"Media",IF(N50&lt;=5000,"Alta","Muy Alta")))))</f>
        <v>Media</v>
      </c>
      <c r="P50" s="322">
        <f t="shared" ref="P50" si="55">IF(O50="","",IF(O50="Muy Baja",0.2,IF(O50="Baja",0.4,IF(O50="Media",0.6,IF(O50="Alta",0.8,IF(O50="Muy Alta",1,))))))</f>
        <v>0.6</v>
      </c>
      <c r="Q50" s="325" t="s">
        <v>145</v>
      </c>
      <c r="R50" s="322" t="str">
        <f>IF(NOT(ISERROR(MATCH(Q50,'Tabla Impacto'!$B$221:$B$223,0))),'Tabla Impacto'!$F$223&amp;"Por favor no seleccionar los criterios de impacto(Afectación Económica o presupuestal y Pérdida Reputacional)",Q50)</f>
        <v xml:space="preserve">     Entre 10 y 50 SMLMV </v>
      </c>
      <c r="S50" s="319" t="str">
        <f>IF(OR(R50='Tabla Impacto'!$C$11,R50='Tabla Impacto'!$D$11),"Leve",IF(OR(R50='Tabla Impacto'!$C$12,R50='Tabla Impacto'!$D$12),"Menor",IF(OR(R50='Tabla Impacto'!$C$13,R50='Tabla Impacto'!$D$13),"Moderado",IF(OR(R50='Tabla Impacto'!$C$14,R50='Tabla Impacto'!$D$14),"Mayor",IF(OR(R50='Tabla Impacto'!$C$15,R50='Tabla Impacto'!$D$15),"Catastrófico","")))))</f>
        <v>Menor</v>
      </c>
      <c r="T50" s="322">
        <f t="shared" ref="T50" si="56">IF(S50="","",IF(S50="Leve",0.2,IF(S50="Menor",0.4,IF(S50="Moderado",0.6,IF(S50="Mayor",0.8,IF(S50="Catastrófico",1,))))))</f>
        <v>0.4</v>
      </c>
      <c r="U50" s="340" t="str">
        <f t="shared" ref="U50" si="57">IF(OR(AND(O50="Muy Baja",S50="Leve"),AND(O50="Muy Baja",S50="Menor"),AND(O50="Baja",S50="Leve")),"Bajo",IF(OR(AND(O50="Muy baja",S50="Moderado"),AND(O50="Baja",S50="Menor"),AND(O50="Baja",S50="Moderado"),AND(O50="Media",S50="Leve"),AND(O50="Media",S50="Menor"),AND(O50="Media",S50="Moderado"),AND(O50="Alta",S50="Leve"),AND(O50="Alta",S50="Menor")),"Moderado",IF(OR(AND(O50="Muy Baja",S50="Mayor"),AND(O50="Baja",S50="Mayor"),AND(O50="Media",S50="Mayor"),AND(O50="Alta",S50="Moderado"),AND(O50="Alta",S50="Mayor"),AND(O50="Muy Alta",S50="Leve"),AND(O50="Muy Alta",S50="Menor"),AND(O50="Muy Alta",S50="Moderado"),AND(O50="Muy Alta",S50="Mayor")),"Alto",IF(OR(AND(O50="Muy Baja",S50="Catastrófico"),AND(O50="Baja",S50="Catastrófico"),AND(O50="Media",S50="Catastrófico"),AND(O50="Alta",S50="Catastrófico"),AND(O50="Muy Alta",S50="Catastrófico")),"Extremo",""))))</f>
        <v>Moderado</v>
      </c>
      <c r="V50" s="334">
        <v>1</v>
      </c>
      <c r="W50" s="389" t="s">
        <v>546</v>
      </c>
      <c r="X50" s="301" t="str">
        <f>IF(OR(Y50="Preventivo",Y50="Detectivo"),"Probabilidad",IF(Y50="Correctivo","Impacto",""))</f>
        <v>Probabilidad</v>
      </c>
      <c r="Y50" s="276" t="s">
        <v>14</v>
      </c>
      <c r="Z50" s="276" t="s">
        <v>9</v>
      </c>
      <c r="AA50" s="288" t="str">
        <f t="shared" ref="AA50" si="58">IF(AND(Y50="Preventivo",Z50="Automático"),"50%",IF(AND(Y50="Preventivo",Z50="Manual"),"40%",IF(AND(Y50="Detectivo",Z50="Automático"),"40%",IF(AND(Y50="Detectivo",Z50="Manual"),"30%",IF(AND(Y50="Correctivo",Z50="Automático"),"35%",IF(AND(Y50="Correctivo",Z50="Manual"),"25%",""))))))</f>
        <v>40%</v>
      </c>
      <c r="AB50" s="276" t="s">
        <v>19</v>
      </c>
      <c r="AC50" s="307" t="s">
        <v>22</v>
      </c>
      <c r="AD50" s="276" t="s">
        <v>117</v>
      </c>
      <c r="AE50" s="298">
        <f>IFERROR(IF(X50="Probabilidad",(P50-(+P50*AA50)),IF(X50="Impacto",P50,"")),"")</f>
        <v>0.36</v>
      </c>
      <c r="AF50" s="282" t="str">
        <f t="shared" ref="AF50" si="59">IFERROR(IF(AE50="","",IF(AE50&lt;=0.2,"Muy Baja",IF(AE50&lt;=0.4,"Baja",IF(AE50&lt;=0.6,"Media",IF(AE50&lt;=0.8,"Alta","Muy Alta"))))),"")</f>
        <v>Baja</v>
      </c>
      <c r="AG50" s="288">
        <f t="shared" ref="AG50" si="60">+AE50</f>
        <v>0.36</v>
      </c>
      <c r="AH50" s="282" t="str">
        <f t="shared" ref="AH50" si="61">IFERROR(IF(AI50="","",IF(AI50&lt;=0.2,"Leve",IF(AI50&lt;=0.4,"Menor",IF(AI50&lt;=0.6,"Moderado",IF(AI50&lt;=0.8,"Mayor","Catastrófico"))))),"")</f>
        <v>Menor</v>
      </c>
      <c r="AI50" s="288">
        <f>IFERROR(IF(X50="Impacto",(T50-(+T50*AA50)),IF(X50="Probabilidad",T50,"")),"")</f>
        <v>0.4</v>
      </c>
      <c r="AJ50" s="284" t="str">
        <f t="shared" ref="AJ50" si="62">IFERROR(IF(OR(AND(AF50="Muy Baja",AH50="Leve"),AND(AF50="Muy Baja",AH50="Menor"),AND(AF50="Baja",AH50="Leve")),"Bajo",IF(OR(AND(AF50="Muy baja",AH50="Moderado"),AND(AF50="Baja",AH50="Menor"),AND(AF50="Baja",AH50="Moderado"),AND(AF50="Media",AH50="Leve"),AND(AF50="Media",AH50="Menor"),AND(AF50="Media",AH50="Moderado"),AND(AF50="Alta",AH50="Leve"),AND(AF50="Alta",AH50="Menor")),"Moderado",IF(OR(AND(AF50="Muy Baja",AH50="Mayor"),AND(AF50="Baja",AH50="Mayor"),AND(AF50="Media",AH50="Mayor"),AND(AF50="Alta",AH50="Moderado"),AND(AF50="Alta",AH50="Mayor"),AND(AF50="Muy Alta",AH50="Leve"),AND(AF50="Muy Alta",AH50="Menor"),AND(AF50="Muy Alta",AH50="Moderado"),AND(AF50="Muy Alta",AH50="Mayor")),"Alto",IF(OR(AND(AF50="Muy Baja",AH50="Catastrófico"),AND(AF50="Baja",AH50="Catastrófico"),AND(AF50="Media",AH50="Catastrófico"),AND(AF50="Alta",AH50="Catastrófico"),AND(AF50="Muy Alta",AH50="Catastrófico")),"Extremo","")))),"")</f>
        <v>Moderado</v>
      </c>
      <c r="AK50" s="286" t="s">
        <v>132</v>
      </c>
      <c r="AL50" s="99" t="s">
        <v>548</v>
      </c>
      <c r="AM50" s="99" t="s">
        <v>410</v>
      </c>
      <c r="AN50" s="99" t="s">
        <v>412</v>
      </c>
      <c r="AO50" s="101">
        <v>44511</v>
      </c>
      <c r="AP50" s="99" t="s">
        <v>547</v>
      </c>
      <c r="AQ50" s="100" t="s">
        <v>41</v>
      </c>
      <c r="AR50" s="99" t="s">
        <v>549</v>
      </c>
    </row>
    <row r="51" spans="1:44" ht="49.5" customHeight="1" x14ac:dyDescent="0.3">
      <c r="A51" s="392"/>
      <c r="B51" s="332"/>
      <c r="C51" s="332"/>
      <c r="D51" s="332"/>
      <c r="E51" s="388"/>
      <c r="F51" s="332"/>
      <c r="G51" s="332"/>
      <c r="H51" s="332"/>
      <c r="I51" s="315"/>
      <c r="J51" s="315"/>
      <c r="K51" s="315"/>
      <c r="L51" s="315"/>
      <c r="M51" s="312"/>
      <c r="N51" s="318"/>
      <c r="O51" s="321"/>
      <c r="P51" s="324"/>
      <c r="Q51" s="327"/>
      <c r="R51" s="324"/>
      <c r="S51" s="321"/>
      <c r="T51" s="324"/>
      <c r="U51" s="341"/>
      <c r="V51" s="336"/>
      <c r="W51" s="390"/>
      <c r="X51" s="303"/>
      <c r="Y51" s="277"/>
      <c r="Z51" s="277"/>
      <c r="AA51" s="290"/>
      <c r="AB51" s="277"/>
      <c r="AC51" s="309"/>
      <c r="AD51" s="277"/>
      <c r="AE51" s="300"/>
      <c r="AF51" s="283"/>
      <c r="AG51" s="290"/>
      <c r="AH51" s="283"/>
      <c r="AI51" s="290"/>
      <c r="AJ51" s="285"/>
      <c r="AK51" s="287"/>
      <c r="AL51" s="99" t="s">
        <v>409</v>
      </c>
      <c r="AM51" s="99" t="s">
        <v>411</v>
      </c>
      <c r="AN51" s="99" t="s">
        <v>412</v>
      </c>
      <c r="AO51" s="101">
        <v>44511</v>
      </c>
      <c r="AP51" s="99" t="s">
        <v>552</v>
      </c>
      <c r="AQ51" s="100" t="s">
        <v>41</v>
      </c>
      <c r="AR51" s="99" t="s">
        <v>414</v>
      </c>
    </row>
    <row r="52" spans="1:44" ht="80.25" customHeight="1" x14ac:dyDescent="0.3">
      <c r="A52" s="391" t="s">
        <v>415</v>
      </c>
      <c r="B52" s="331" t="s">
        <v>405</v>
      </c>
      <c r="C52" s="331" t="s">
        <v>406</v>
      </c>
      <c r="D52" s="331" t="s">
        <v>222</v>
      </c>
      <c r="E52" s="331" t="s">
        <v>130</v>
      </c>
      <c r="F52" s="331" t="s">
        <v>417</v>
      </c>
      <c r="G52" s="331" t="s">
        <v>418</v>
      </c>
      <c r="H52" s="331" t="s">
        <v>416</v>
      </c>
      <c r="I52" s="313" t="s">
        <v>230</v>
      </c>
      <c r="J52" s="313" t="s">
        <v>230</v>
      </c>
      <c r="K52" s="313" t="s">
        <v>230</v>
      </c>
      <c r="L52" s="313" t="s">
        <v>230</v>
      </c>
      <c r="M52" s="280" t="s">
        <v>121</v>
      </c>
      <c r="N52" s="316">
        <v>34</v>
      </c>
      <c r="O52" s="319" t="str">
        <f t="shared" ref="O52" si="63">IF(N52&lt;=0,"",IF(N52&lt;=2,"Muy Baja",IF(N52&lt;=24,"Baja",IF(N52&lt;=500,"Media",IF(N52&lt;=5000,"Alta","Muy Alta")))))</f>
        <v>Media</v>
      </c>
      <c r="P52" s="322">
        <f t="shared" ref="P52" si="64">IF(O52="","",IF(O52="Muy Baja",0.2,IF(O52="Baja",0.4,IF(O52="Media",0.6,IF(O52="Alta",0.8,IF(O52="Muy Alta",1,))))))</f>
        <v>0.6</v>
      </c>
      <c r="Q52" s="325" t="s">
        <v>145</v>
      </c>
      <c r="R52" s="322" t="str">
        <f>IF(NOT(ISERROR(MATCH(Q52,'Tabla Impacto'!$B$221:$B$223,0))),'Tabla Impacto'!$F$223&amp;"Por favor no seleccionar los criterios de impacto(Afectación Económica o presupuestal y Pérdida Reputacional)",Q52)</f>
        <v xml:space="preserve">     Entre 10 y 50 SMLMV </v>
      </c>
      <c r="S52" s="319" t="str">
        <f>IF(OR(R52='Tabla Impacto'!$C$11,R52='Tabla Impacto'!$D$11),"Leve",IF(OR(R52='Tabla Impacto'!$C$12,R52='Tabla Impacto'!$D$12),"Menor",IF(OR(R52='Tabla Impacto'!$C$13,R52='Tabla Impacto'!$D$13),"Moderado",IF(OR(R52='Tabla Impacto'!$C$14,R52='Tabla Impacto'!$D$14),"Mayor",IF(OR(R52='Tabla Impacto'!$C$15,R52='Tabla Impacto'!$D$15),"Catastrófico","")))))</f>
        <v>Menor</v>
      </c>
      <c r="T52" s="322">
        <f t="shared" ref="T52" si="65">IF(S52="","",IF(S52="Leve",0.2,IF(S52="Menor",0.4,IF(S52="Moderado",0.6,IF(S52="Mayor",0.8,IF(S52="Catastrófico",1,))))))</f>
        <v>0.4</v>
      </c>
      <c r="U52" s="340" t="str">
        <f t="shared" ref="U52" si="66">IF(OR(AND(O52="Muy Baja",S52="Leve"),AND(O52="Muy Baja",S52="Menor"),AND(O52="Baja",S52="Leve")),"Bajo",IF(OR(AND(O52="Muy baja",S52="Moderado"),AND(O52="Baja",S52="Menor"),AND(O52="Baja",S52="Moderado"),AND(O52="Media",S52="Leve"),AND(O52="Media",S52="Menor"),AND(O52="Media",S52="Moderado"),AND(O52="Alta",S52="Leve"),AND(O52="Alta",S52="Menor")),"Moderado",IF(OR(AND(O52="Muy Baja",S52="Mayor"),AND(O52="Baja",S52="Mayor"),AND(O52="Media",S52="Mayor"),AND(O52="Alta",S52="Moderado"),AND(O52="Alta",S52="Mayor"),AND(O52="Muy Alta",S52="Leve"),AND(O52="Muy Alta",S52="Menor"),AND(O52="Muy Alta",S52="Moderado"),AND(O52="Muy Alta",S52="Mayor")),"Alto",IF(OR(AND(O52="Muy Baja",S52="Catastrófico"),AND(O52="Baja",S52="Catastrófico"),AND(O52="Media",S52="Catastrófico"),AND(O52="Alta",S52="Catastrófico"),AND(O52="Muy Alta",S52="Catastrófico")),"Extremo",""))))</f>
        <v>Moderado</v>
      </c>
      <c r="V52" s="334">
        <v>1</v>
      </c>
      <c r="W52" s="389" t="s">
        <v>550</v>
      </c>
      <c r="X52" s="301" t="str">
        <f>IF(OR(Y52="Preventivo",Y52="Detectivo"),"Probabilidad",IF(Y52="Correctivo","Impacto",""))</f>
        <v>Probabilidad</v>
      </c>
      <c r="Y52" s="276" t="s">
        <v>14</v>
      </c>
      <c r="Z52" s="276" t="s">
        <v>9</v>
      </c>
      <c r="AA52" s="288" t="str">
        <f t="shared" ref="AA52" si="67">IF(AND(Y52="Preventivo",Z52="Automático"),"50%",IF(AND(Y52="Preventivo",Z52="Manual"),"40%",IF(AND(Y52="Detectivo",Z52="Automático"),"40%",IF(AND(Y52="Detectivo",Z52="Manual"),"30%",IF(AND(Y52="Correctivo",Z52="Automático"),"35%",IF(AND(Y52="Correctivo",Z52="Manual"),"25%",""))))))</f>
        <v>40%</v>
      </c>
      <c r="AB52" s="276" t="s">
        <v>19</v>
      </c>
      <c r="AC52" s="307" t="s">
        <v>22</v>
      </c>
      <c r="AD52" s="276" t="s">
        <v>117</v>
      </c>
      <c r="AE52" s="393">
        <f>IFERROR(IF(X52="Probabilidad",(P52-(+P52*AA52)),IF(X52="Impacto",P52,"")),"")</f>
        <v>0.36</v>
      </c>
      <c r="AF52" s="282" t="str">
        <f t="shared" ref="AF52" si="68">IFERROR(IF(AE52="","",IF(AE52&lt;=0.2,"Muy Baja",IF(AE52&lt;=0.4,"Baja",IF(AE52&lt;=0.6,"Media",IF(AE52&lt;=0.8,"Alta","Muy Alta"))))),"")</f>
        <v>Baja</v>
      </c>
      <c r="AG52" s="288">
        <f t="shared" ref="AG52" si="69">+AE52</f>
        <v>0.36</v>
      </c>
      <c r="AH52" s="282" t="str">
        <f t="shared" ref="AH52" si="70">IFERROR(IF(AI52="","",IF(AI52&lt;=0.2,"Leve",IF(AI52&lt;=0.4,"Menor",IF(AI52&lt;=0.6,"Moderado",IF(AI52&lt;=0.8,"Mayor","Catastrófico"))))),"")</f>
        <v>Menor</v>
      </c>
      <c r="AI52" s="288">
        <f>IFERROR(IF(X52="Impacto",(T52-(+T52*AA52)),IF(X52="Probabilidad",T52,"")),"")</f>
        <v>0.4</v>
      </c>
      <c r="AJ52" s="284" t="str">
        <f t="shared" ref="AJ52" si="71">IFERROR(IF(OR(AND(AF52="Muy Baja",AH52="Leve"),AND(AF52="Muy Baja",AH52="Menor"),AND(AF52="Baja",AH52="Leve")),"Bajo",IF(OR(AND(AF52="Muy baja",AH52="Moderado"),AND(AF52="Baja",AH52="Menor"),AND(AF52="Baja",AH52="Moderado"),AND(AF52="Media",AH52="Leve"),AND(AF52="Media",AH52="Menor"),AND(AF52="Media",AH52="Moderado"),AND(AF52="Alta",AH52="Leve"),AND(AF52="Alta",AH52="Menor")),"Moderado",IF(OR(AND(AF52="Muy Baja",AH52="Mayor"),AND(AF52="Baja",AH52="Mayor"),AND(AF52="Media",AH52="Mayor"),AND(AF52="Alta",AH52="Moderado"),AND(AF52="Alta",AH52="Mayor"),AND(AF52="Muy Alta",AH52="Leve"),AND(AF52="Muy Alta",AH52="Menor"),AND(AF52="Muy Alta",AH52="Moderado"),AND(AF52="Muy Alta",AH52="Mayor")),"Alto",IF(OR(AND(AF52="Muy Baja",AH52="Catastrófico"),AND(AF52="Baja",AH52="Catastrófico"),AND(AF52="Media",AH52="Catastrófico"),AND(AF52="Alta",AH52="Catastrófico"),AND(AF52="Muy Alta",AH52="Catastrófico")),"Extremo","")))),"")</f>
        <v>Moderado</v>
      </c>
      <c r="AK52" s="293" t="s">
        <v>132</v>
      </c>
      <c r="AL52" s="99" t="s">
        <v>554</v>
      </c>
      <c r="AM52" s="99" t="s">
        <v>411</v>
      </c>
      <c r="AN52" s="99" t="s">
        <v>551</v>
      </c>
      <c r="AO52" s="101">
        <v>44511</v>
      </c>
      <c r="AP52" s="99" t="s">
        <v>556</v>
      </c>
      <c r="AQ52" s="100" t="s">
        <v>41</v>
      </c>
      <c r="AR52" s="99" t="s">
        <v>555</v>
      </c>
    </row>
    <row r="53" spans="1:44" ht="56.25" customHeight="1" x14ac:dyDescent="0.3">
      <c r="A53" s="392"/>
      <c r="B53" s="332"/>
      <c r="C53" s="332"/>
      <c r="D53" s="332"/>
      <c r="E53" s="332"/>
      <c r="F53" s="332"/>
      <c r="G53" s="332"/>
      <c r="H53" s="332"/>
      <c r="I53" s="315"/>
      <c r="J53" s="315"/>
      <c r="K53" s="315"/>
      <c r="L53" s="315"/>
      <c r="M53" s="312"/>
      <c r="N53" s="318"/>
      <c r="O53" s="321"/>
      <c r="P53" s="324"/>
      <c r="Q53" s="327"/>
      <c r="R53" s="324"/>
      <c r="S53" s="321"/>
      <c r="T53" s="324"/>
      <c r="U53" s="341"/>
      <c r="V53" s="336"/>
      <c r="W53" s="390"/>
      <c r="X53" s="303"/>
      <c r="Y53" s="277"/>
      <c r="Z53" s="277"/>
      <c r="AA53" s="290"/>
      <c r="AB53" s="277"/>
      <c r="AC53" s="309"/>
      <c r="AD53" s="277"/>
      <c r="AE53" s="394"/>
      <c r="AF53" s="283"/>
      <c r="AG53" s="290"/>
      <c r="AH53" s="283"/>
      <c r="AI53" s="290"/>
      <c r="AJ53" s="285"/>
      <c r="AK53" s="295"/>
      <c r="AL53" s="99" t="s">
        <v>419</v>
      </c>
      <c r="AM53" s="99" t="s">
        <v>420</v>
      </c>
      <c r="AN53" s="99" t="s">
        <v>551</v>
      </c>
      <c r="AO53" s="101">
        <v>44511</v>
      </c>
      <c r="AP53" s="99" t="s">
        <v>553</v>
      </c>
      <c r="AQ53" s="100" t="s">
        <v>41</v>
      </c>
      <c r="AR53" s="99" t="s">
        <v>557</v>
      </c>
    </row>
    <row r="54" spans="1:44" ht="90" customHeight="1" x14ac:dyDescent="0.3">
      <c r="A54" s="119" t="s">
        <v>421</v>
      </c>
      <c r="B54" s="130" t="s">
        <v>405</v>
      </c>
      <c r="C54" s="130" t="s">
        <v>406</v>
      </c>
      <c r="D54" s="130" t="s">
        <v>222</v>
      </c>
      <c r="E54" s="130" t="s">
        <v>130</v>
      </c>
      <c r="F54" s="130" t="s">
        <v>423</v>
      </c>
      <c r="G54" s="130" t="s">
        <v>424</v>
      </c>
      <c r="H54" s="130" t="s">
        <v>422</v>
      </c>
      <c r="I54" s="126" t="s">
        <v>230</v>
      </c>
      <c r="J54" s="138" t="s">
        <v>230</v>
      </c>
      <c r="K54" s="138" t="s">
        <v>230</v>
      </c>
      <c r="L54" s="138" t="s">
        <v>230</v>
      </c>
      <c r="M54" s="137" t="s">
        <v>121</v>
      </c>
      <c r="N54" s="173">
        <v>1</v>
      </c>
      <c r="O54" s="174" t="str">
        <f>IF(N54&lt;=0,"",IF(N54&lt;=2,"Muy Baja",IF(N54&lt;=24,"Baja",IF(N54&lt;=500,"Media",IF(N54&lt;=5000,"Alta","Muy Alta")))))</f>
        <v>Muy Baja</v>
      </c>
      <c r="P54" s="171">
        <f>IF(O54="","",IF(O54="Muy Baja",0.2,IF(O54="Baja",0.4,IF(O54="Media",0.6,IF(O54="Alta",0.8,IF(O54="Muy Alta",1,))))))</f>
        <v>0.2</v>
      </c>
      <c r="Q54" s="128" t="s">
        <v>149</v>
      </c>
      <c r="R54" s="122" t="str">
        <f>IF(NOT(ISERROR(MATCH(Q54,'Tabla Impacto'!$B$221:$B$223,0))),'Tabla Impacto'!$F$223&amp;"Por favor no seleccionar los criterios de impacto(Afectación Económica o presupuestal y Pérdida Reputacional)",Q54)</f>
        <v xml:space="preserve">     El riesgo afecta la imagen de la entidad internamente, de conocimiento general, nivel interno, de junta dircetiva y accionistas y/o de provedores</v>
      </c>
      <c r="S54" s="174" t="str">
        <f>IF(OR(R54='Tabla Impacto'!$C$11,R54='Tabla Impacto'!$D$11),"Leve",IF(OR(R54='Tabla Impacto'!$C$12,R54='Tabla Impacto'!$D$12),"Menor",IF(OR(R54='Tabla Impacto'!$C$13,R54='Tabla Impacto'!$D$13),"Moderado",IF(OR(R54='Tabla Impacto'!$C$14,R54='Tabla Impacto'!$D$14),"Mayor",IF(OR(R54='Tabla Impacto'!$C$15,R54='Tabla Impacto'!$D$15),"Catastrófico","")))))</f>
        <v>Menor</v>
      </c>
      <c r="T54" s="171">
        <f>IF(S54="","",IF(S54="Leve",0.2,IF(S54="Menor",0.4,IF(S54="Moderado",0.6,IF(S54="Mayor",0.8,IF(S54="Catastrófico",1,))))))</f>
        <v>0.4</v>
      </c>
      <c r="U54" s="172" t="str">
        <f>IF(OR(AND(O54="Muy Baja",S54="Leve"),AND(O54="Muy Baja",S54="Menor"),AND(O54="Baja",S54="Leve")),"Bajo",IF(OR(AND(O54="Muy baja",S54="Moderado"),AND(O54="Baja",S54="Menor"),AND(O54="Baja",S54="Moderado"),AND(O54="Media",S54="Leve"),AND(O54="Media",S54="Menor"),AND(O54="Media",S54="Moderado"),AND(O54="Alta",S54="Leve"),AND(O54="Alta",S54="Menor")),"Moderado",IF(OR(AND(O54="Muy Baja",S54="Mayor"),AND(O54="Baja",S54="Mayor"),AND(O54="Media",S54="Mayor"),AND(O54="Alta",S54="Moderado"),AND(O54="Alta",S54="Mayor"),AND(O54="Muy Alta",S54="Leve"),AND(O54="Muy Alta",S54="Menor"),AND(O54="Muy Alta",S54="Moderado"),AND(O54="Muy Alta",S54="Mayor")),"Alto",IF(OR(AND(O54="Muy Baja",S54="Catastrófico"),AND(O54="Baja",S54="Catastrófico"),AND(O54="Media",S54="Catastrófico"),AND(O54="Alta",S54="Catastrófico"),AND(O54="Muy Alta",S54="Catastrófico")),"Extremo",""))))</f>
        <v>Bajo</v>
      </c>
      <c r="V54" s="142">
        <v>1</v>
      </c>
      <c r="W54" s="124" t="s">
        <v>425</v>
      </c>
      <c r="X54" s="92" t="str">
        <f>IF(OR(Y54="Preventivo",Y54="Detectivo"),"Probabilidad",IF(Y54="Correctivo","Impacto",""))</f>
        <v>Probabilidad</v>
      </c>
      <c r="Y54" s="93" t="s">
        <v>14</v>
      </c>
      <c r="Z54" s="93" t="s">
        <v>9</v>
      </c>
      <c r="AA54" s="94" t="str">
        <f t="shared" ref="AA54" si="72">IF(AND(Y54="Preventivo",Z54="Automático"),"50%",IF(AND(Y54="Preventivo",Z54="Manual"),"40%",IF(AND(Y54="Detectivo",Z54="Automático"),"40%",IF(AND(Y54="Detectivo",Z54="Manual"),"30%",IF(AND(Y54="Correctivo",Z54="Automático"),"35%",IF(AND(Y54="Correctivo",Z54="Manual"),"25%",""))))))</f>
        <v>40%</v>
      </c>
      <c r="AB54" s="93" t="s">
        <v>19</v>
      </c>
      <c r="AC54" s="93" t="s">
        <v>23</v>
      </c>
      <c r="AD54" s="93" t="s">
        <v>117</v>
      </c>
      <c r="AE54" s="181">
        <f>IFERROR(IF(X54="Probabilidad",(P54-(+P54*AA54)),IF(X54="Impacto",P54,"")),"")</f>
        <v>0.12</v>
      </c>
      <c r="AF54" s="95" t="str">
        <f t="shared" ref="AF54" si="73">IFERROR(IF(AE54="","",IF(AE54&lt;=0.2,"Muy Baja",IF(AE54&lt;=0.4,"Baja",IF(AE54&lt;=0.6,"Media",IF(AE54&lt;=0.8,"Alta","Muy Alta"))))),"")</f>
        <v>Muy Baja</v>
      </c>
      <c r="AG54" s="116">
        <f t="shared" ref="AG54" si="74">+AE54</f>
        <v>0.12</v>
      </c>
      <c r="AH54" s="95" t="str">
        <f t="shared" ref="AH54" si="75">IFERROR(IF(AI54="","",IF(AI54&lt;=0.2,"Leve",IF(AI54&lt;=0.4,"Menor",IF(AI54&lt;=0.6,"Moderado",IF(AI54&lt;=0.8,"Mayor","Catastrófico"))))),"")</f>
        <v>Menor</v>
      </c>
      <c r="AI54" s="116">
        <f>IFERROR(IF(X54="Impacto",(T54-(+T54*AA54)),IF(X54="Probabilidad",T54,"")),"")</f>
        <v>0.4</v>
      </c>
      <c r="AJ54" s="97" t="str">
        <f t="shared" ref="AJ54" si="76">IFERROR(IF(OR(AND(AF54="Muy Baja",AH54="Leve"),AND(AF54="Muy Baja",AH54="Menor"),AND(AF54="Baja",AH54="Leve")),"Bajo",IF(OR(AND(AF54="Muy baja",AH54="Moderado"),AND(AF54="Baja",AH54="Menor"),AND(AF54="Baja",AH54="Moderado"),AND(AF54="Media",AH54="Leve"),AND(AF54="Media",AH54="Menor"),AND(AF54="Media",AH54="Moderado"),AND(AF54="Alta",AH54="Leve"),AND(AF54="Alta",AH54="Menor")),"Moderado",IF(OR(AND(AF54="Muy Baja",AH54="Mayor"),AND(AF54="Baja",AH54="Mayor"),AND(AF54="Media",AH54="Mayor"),AND(AF54="Alta",AH54="Moderado"),AND(AF54="Alta",AH54="Mayor"),AND(AF54="Muy Alta",AH54="Leve"),AND(AF54="Muy Alta",AH54="Menor"),AND(AF54="Muy Alta",AH54="Moderado"),AND(AF54="Muy Alta",AH54="Mayor")),"Alto",IF(OR(AND(AF54="Muy Baja",AH54="Catastrófico"),AND(AF54="Baja",AH54="Catastrófico"),AND(AF54="Media",AH54="Catastrófico"),AND(AF54="Alta",AH54="Catastrófico"),AND(AF54="Muy Alta",AH54="Catastrófico")),"Extremo","")))),"")</f>
        <v>Bajo</v>
      </c>
      <c r="AK54" s="184" t="s">
        <v>31</v>
      </c>
      <c r="AL54" s="99" t="s">
        <v>571</v>
      </c>
      <c r="AM54" s="99" t="s">
        <v>223</v>
      </c>
      <c r="AN54" s="99" t="s">
        <v>223</v>
      </c>
      <c r="AO54" s="99" t="s">
        <v>223</v>
      </c>
      <c r="AP54" s="99" t="s">
        <v>223</v>
      </c>
      <c r="AQ54" s="99" t="s">
        <v>223</v>
      </c>
      <c r="AR54" s="99" t="s">
        <v>223</v>
      </c>
    </row>
    <row r="55" spans="1:44" ht="78.75" customHeight="1" x14ac:dyDescent="0.3">
      <c r="A55" s="331" t="s">
        <v>438</v>
      </c>
      <c r="B55" s="334" t="s">
        <v>405</v>
      </c>
      <c r="C55" s="331" t="s">
        <v>406</v>
      </c>
      <c r="D55" s="331" t="s">
        <v>222</v>
      </c>
      <c r="E55" s="331" t="s">
        <v>130</v>
      </c>
      <c r="F55" s="331" t="s">
        <v>428</v>
      </c>
      <c r="G55" s="331" t="s">
        <v>429</v>
      </c>
      <c r="H55" s="331" t="s">
        <v>427</v>
      </c>
      <c r="I55" s="313" t="s">
        <v>230</v>
      </c>
      <c r="J55" s="313" t="s">
        <v>230</v>
      </c>
      <c r="K55" s="313" t="s">
        <v>230</v>
      </c>
      <c r="L55" s="313" t="s">
        <v>230</v>
      </c>
      <c r="M55" s="280" t="s">
        <v>121</v>
      </c>
      <c r="N55" s="342">
        <v>12</v>
      </c>
      <c r="O55" s="319" t="str">
        <f>IF(N55&lt;=0,"",IF(N55&lt;=2,"Muy Baja",IF(N55&lt;=24,"Baja",IF(N55&lt;=500,"Media",IF(N55&lt;=5000,"Alta","Muy Alta")))))</f>
        <v>Baja</v>
      </c>
      <c r="P55" s="322">
        <f>IF(O55="","",IF(O55="Muy Baja",0.2,IF(O55="Baja",0.4,IF(O55="Media",0.6,IF(O55="Alta",0.8,IF(O55="Muy Alta",1,))))))</f>
        <v>0.4</v>
      </c>
      <c r="Q55" s="325" t="s">
        <v>149</v>
      </c>
      <c r="R55" s="322" t="str">
        <f>IF(NOT(ISERROR(MATCH(Q55,'Tabla Impacto'!$B$221:$B$223,0))),'Tabla Impacto'!$F$223&amp;"Por favor no seleccionar los criterios de impacto(Afectación Económica o presupuestal y Pérdida Reputacional)",Q55)</f>
        <v xml:space="preserve">     El riesgo afecta la imagen de la entidad internamente, de conocimiento general, nivel interno, de junta dircetiva y accionistas y/o de provedores</v>
      </c>
      <c r="S55" s="319" t="str">
        <f>IF(OR(R55='Tabla Impacto'!$C$11,R55='Tabla Impacto'!$D$11),"Leve",IF(OR(R55='Tabla Impacto'!$C$12,R55='Tabla Impacto'!$D$12),"Menor",IF(OR(R55='Tabla Impacto'!$C$13,R55='Tabla Impacto'!$D$13),"Moderado",IF(OR(R55='Tabla Impacto'!$C$14,R55='Tabla Impacto'!$D$14),"Mayor",IF(OR(R55='Tabla Impacto'!$C$15,R55='Tabla Impacto'!$D$15),"Catastrófico","")))))</f>
        <v>Menor</v>
      </c>
      <c r="T55" s="322">
        <f>IF(S55="","",IF(S55="Leve",0.2,IF(S55="Menor",0.4,IF(S55="Moderado",0.6,IF(S55="Mayor",0.8,IF(S55="Catastrófico",1,))))))</f>
        <v>0.4</v>
      </c>
      <c r="U55" s="340" t="str">
        <f>IF(OR(AND(O55="Muy Baja",S55="Leve"),AND(O55="Muy Baja",S55="Menor"),AND(O55="Baja",S55="Leve")),"Bajo",IF(OR(AND(O55="Muy baja",S55="Moderado"),AND(O55="Baja",S55="Menor"),AND(O55="Baja",S55="Moderado"),AND(O55="Media",S55="Leve"),AND(O55="Media",S55="Menor"),AND(O55="Media",S55="Moderado"),AND(O55="Alta",S55="Leve"),AND(O55="Alta",S55="Menor")),"Moderado",IF(OR(AND(O55="Muy Baja",S55="Mayor"),AND(O55="Baja",S55="Mayor"),AND(O55="Media",S55="Mayor"),AND(O55="Alta",S55="Moderado"),AND(O55="Alta",S55="Mayor"),AND(O55="Muy Alta",S55="Leve"),AND(O55="Muy Alta",S55="Menor"),AND(O55="Muy Alta",S55="Moderado"),AND(O55="Muy Alta",S55="Mayor")),"Alto",IF(OR(AND(O55="Muy Baja",S55="Catastrófico"),AND(O55="Baja",S55="Catastrófico"),AND(O55="Media",S55="Catastrófico"),AND(O55="Alta",S55="Catastrófico"),AND(O55="Muy Alta",S55="Catastrófico")),"Extremo",""))))</f>
        <v>Moderado</v>
      </c>
      <c r="V55" s="334">
        <v>1</v>
      </c>
      <c r="W55" s="337" t="s">
        <v>430</v>
      </c>
      <c r="X55" s="301" t="str">
        <f>IF(OR(Y55="Preventivo",Y55="Detectivo"),"Probabilidad",IF(Y55="Correctivo","Impacto",""))</f>
        <v>Probabilidad</v>
      </c>
      <c r="Y55" s="276" t="s">
        <v>14</v>
      </c>
      <c r="Z55" s="276" t="s">
        <v>9</v>
      </c>
      <c r="AA55" s="278" t="str">
        <f>IF(AND(Y55="Preventivo",Z55="Automático"),"50%",IF(AND(Y55="Preventivo",Z55="Manual"),"40%",IF(AND(Y55="Detectivo",Z55="Automático"),"40%",IF(AND(Y55="Detectivo",Z55="Manual"),"30%",IF(AND(Y55="Correctivo",Z55="Automático"),"35%",IF(AND(Y55="Correctivo",Z55="Manual"),"25%",""))))))</f>
        <v>40%</v>
      </c>
      <c r="AB55" s="276" t="s">
        <v>19</v>
      </c>
      <c r="AC55" s="276" t="s">
        <v>22</v>
      </c>
      <c r="AD55" s="276" t="s">
        <v>117</v>
      </c>
      <c r="AE55" s="298">
        <f>IFERROR(IF(X55="Probabilidad",(P55-(+P55*AA55)),IF(X55="Impacto",P55,"")),"")</f>
        <v>0.24</v>
      </c>
      <c r="AF55" s="282" t="str">
        <f>IFERROR(IF(AE55="","",IF(AE55&lt;=0.2,"Muy Baja",IF(AE55&lt;=0.4,"Baja",IF(AE55&lt;=0.6,"Media",IF(AE55&lt;=0.8,"Alta","Muy Alta"))))),"")</f>
        <v>Baja</v>
      </c>
      <c r="AG55" s="278">
        <f>+AE55</f>
        <v>0.24</v>
      </c>
      <c r="AH55" s="282" t="str">
        <f>IFERROR(IF(AI55="","",IF(AI55&lt;=0.2,"Leve",IF(AI55&lt;=0.4,"Menor",IF(AI55&lt;=0.6,"Moderado",IF(AI55&lt;=0.8,"Mayor","Catastrófico"))))),"")</f>
        <v>Menor</v>
      </c>
      <c r="AI55" s="278">
        <f>IFERROR(IF(X55="Impacto",(T55-(+T55*AA55)),IF(X55="Probabilidad",T55,"")),"")</f>
        <v>0.4</v>
      </c>
      <c r="AJ55" s="284" t="str">
        <f>IFERROR(IF(OR(AND(AF55="Muy Baja",AH55="Leve"),AND(AF55="Muy Baja",AH55="Menor"),AND(AF55="Baja",AH55="Leve")),"Bajo",IF(OR(AND(AF55="Muy baja",AH55="Moderado"),AND(AF55="Baja",AH55="Menor"),AND(AF55="Baja",AH55="Moderado"),AND(AF55="Media",AH55="Leve"),AND(AF55="Media",AH55="Menor"),AND(AF55="Media",AH55="Moderado"),AND(AF55="Alta",AH55="Leve"),AND(AF55="Alta",AH55="Menor")),"Moderado",IF(OR(AND(AF55="Muy Baja",AH55="Mayor"),AND(AF55="Baja",AH55="Mayor"),AND(AF55="Media",AH55="Mayor"),AND(AF55="Alta",AH55="Moderado"),AND(AF55="Alta",AH55="Mayor"),AND(AF55="Muy Alta",AH55="Leve"),AND(AF55="Muy Alta",AH55="Menor"),AND(AF55="Muy Alta",AH55="Moderado"),AND(AF55="Muy Alta",AH55="Mayor")),"Alto",IF(OR(AND(AF55="Muy Baja",AH55="Catastrófico"),AND(AF55="Baja",AH55="Catastrófico"),AND(AF55="Media",AH55="Catastrófico"),AND(AF55="Alta",AH55="Catastrófico"),AND(AF55="Muy Alta",AH55="Catastrófico")),"Extremo","")))),"")</f>
        <v>Moderado</v>
      </c>
      <c r="AK55" s="276" t="s">
        <v>132</v>
      </c>
      <c r="AL55" s="99" t="s">
        <v>431</v>
      </c>
      <c r="AM55" s="99" t="s">
        <v>426</v>
      </c>
      <c r="AN55" s="112" t="s">
        <v>434</v>
      </c>
      <c r="AO55" s="101">
        <v>44511</v>
      </c>
      <c r="AP55" s="99" t="s">
        <v>558</v>
      </c>
      <c r="AQ55" s="100" t="s">
        <v>41</v>
      </c>
      <c r="AR55" s="99" t="s">
        <v>293</v>
      </c>
    </row>
    <row r="56" spans="1:44" ht="54.75" customHeight="1" x14ac:dyDescent="0.3">
      <c r="A56" s="332"/>
      <c r="B56" s="335"/>
      <c r="C56" s="332"/>
      <c r="D56" s="332"/>
      <c r="E56" s="332"/>
      <c r="F56" s="332"/>
      <c r="G56" s="332"/>
      <c r="H56" s="332"/>
      <c r="I56" s="314"/>
      <c r="J56" s="314"/>
      <c r="K56" s="314"/>
      <c r="L56" s="314"/>
      <c r="M56" s="312"/>
      <c r="N56" s="343"/>
      <c r="O56" s="320"/>
      <c r="P56" s="323"/>
      <c r="Q56" s="326"/>
      <c r="R56" s="323">
        <f>IF(NOT(ISERROR(MATCH(Q56,_xlfn.ANCHORARRAY(H66),0))),#REF!&amp;"Por favor no seleccionar los criterios de impacto",Q56)</f>
        <v>0</v>
      </c>
      <c r="S56" s="320"/>
      <c r="T56" s="323"/>
      <c r="U56" s="349"/>
      <c r="V56" s="335"/>
      <c r="W56" s="338"/>
      <c r="X56" s="302"/>
      <c r="Y56" s="297"/>
      <c r="Z56" s="297"/>
      <c r="AA56" s="296"/>
      <c r="AB56" s="297"/>
      <c r="AC56" s="297"/>
      <c r="AD56" s="297"/>
      <c r="AE56" s="299"/>
      <c r="AF56" s="291"/>
      <c r="AG56" s="296"/>
      <c r="AH56" s="291"/>
      <c r="AI56" s="296"/>
      <c r="AJ56" s="292"/>
      <c r="AK56" s="297"/>
      <c r="AL56" s="99" t="s">
        <v>432</v>
      </c>
      <c r="AM56" s="99" t="s">
        <v>426</v>
      </c>
      <c r="AN56" s="112" t="s">
        <v>435</v>
      </c>
      <c r="AO56" s="101">
        <v>44511</v>
      </c>
      <c r="AP56" s="99" t="s">
        <v>559</v>
      </c>
      <c r="AQ56" s="100" t="s">
        <v>41</v>
      </c>
      <c r="AR56" s="99" t="s">
        <v>436</v>
      </c>
    </row>
    <row r="57" spans="1:44" ht="60" customHeight="1" x14ac:dyDescent="0.3">
      <c r="A57" s="332"/>
      <c r="B57" s="335"/>
      <c r="C57" s="332"/>
      <c r="D57" s="332"/>
      <c r="E57" s="332"/>
      <c r="F57" s="332"/>
      <c r="G57" s="332"/>
      <c r="H57" s="332"/>
      <c r="I57" s="315"/>
      <c r="J57" s="315"/>
      <c r="K57" s="315"/>
      <c r="L57" s="315"/>
      <c r="M57" s="312"/>
      <c r="N57" s="343"/>
      <c r="O57" s="320"/>
      <c r="P57" s="323"/>
      <c r="Q57" s="326"/>
      <c r="R57" s="323">
        <f>IF(NOT(ISERROR(MATCH(Q57,_xlfn.ANCHORARRAY(H67),0))),#REF!&amp;"Por favor no seleccionar los criterios de impacto",Q57)</f>
        <v>0</v>
      </c>
      <c r="S57" s="320"/>
      <c r="T57" s="323"/>
      <c r="U57" s="349"/>
      <c r="V57" s="336"/>
      <c r="W57" s="339"/>
      <c r="X57" s="303"/>
      <c r="Y57" s="277"/>
      <c r="Z57" s="277"/>
      <c r="AA57" s="279"/>
      <c r="AB57" s="277"/>
      <c r="AC57" s="277"/>
      <c r="AD57" s="277"/>
      <c r="AE57" s="300"/>
      <c r="AF57" s="283"/>
      <c r="AG57" s="279"/>
      <c r="AH57" s="283"/>
      <c r="AI57" s="279"/>
      <c r="AJ57" s="285"/>
      <c r="AK57" s="277"/>
      <c r="AL57" s="99" t="s">
        <v>433</v>
      </c>
      <c r="AM57" s="99" t="s">
        <v>426</v>
      </c>
      <c r="AN57" s="112" t="s">
        <v>413</v>
      </c>
      <c r="AO57" s="101">
        <v>44511</v>
      </c>
      <c r="AP57" s="99" t="s">
        <v>560</v>
      </c>
      <c r="AQ57" s="100" t="s">
        <v>41</v>
      </c>
      <c r="AR57" s="99" t="s">
        <v>437</v>
      </c>
    </row>
    <row r="58" spans="1:44" ht="90" customHeight="1" x14ac:dyDescent="0.3">
      <c r="A58" s="331" t="s">
        <v>440</v>
      </c>
      <c r="B58" s="331" t="s">
        <v>439</v>
      </c>
      <c r="C58" s="331" t="s">
        <v>441</v>
      </c>
      <c r="D58" s="331" t="s">
        <v>222</v>
      </c>
      <c r="E58" s="331" t="s">
        <v>130</v>
      </c>
      <c r="F58" s="331" t="s">
        <v>442</v>
      </c>
      <c r="G58" s="136" t="s">
        <v>443</v>
      </c>
      <c r="H58" s="331" t="s">
        <v>534</v>
      </c>
      <c r="I58" s="313" t="s">
        <v>230</v>
      </c>
      <c r="J58" s="313" t="s">
        <v>230</v>
      </c>
      <c r="K58" s="313" t="s">
        <v>230</v>
      </c>
      <c r="L58" s="313" t="s">
        <v>230</v>
      </c>
      <c r="M58" s="280" t="s">
        <v>121</v>
      </c>
      <c r="N58" s="342">
        <v>24</v>
      </c>
      <c r="O58" s="319" t="str">
        <f>IF(N58&lt;=0,"",IF(N58&lt;=2,"Muy Baja",IF(N58&lt;=24,"Baja",IF(N58&lt;=500,"Media",IF(N58&lt;=5000,"Alta","Muy Alta")))))</f>
        <v>Baja</v>
      </c>
      <c r="P58" s="322">
        <f>IF(O58="","",IF(O58="Muy Baja",0.2,IF(O58="Baja",0.4,IF(O58="Media",0.6,IF(O58="Alta",0.8,IF(O58="Muy Alta",1,))))))</f>
        <v>0.4</v>
      </c>
      <c r="Q58" s="325" t="s">
        <v>149</v>
      </c>
      <c r="R58" s="322" t="str">
        <f>IF(NOT(ISERROR(MATCH(Q58,'Tabla Impacto'!$B$221:$B$223,0))),'Tabla Impacto'!$F$223&amp;"Por favor no seleccionar los criterios de impacto(Afectación Económica o presupuestal y Pérdida Reputacional)",Q58)</f>
        <v xml:space="preserve">     El riesgo afecta la imagen de la entidad internamente, de conocimiento general, nivel interno, de junta dircetiva y accionistas y/o de provedores</v>
      </c>
      <c r="S58" s="319" t="str">
        <f>IF(OR(R58='Tabla Impacto'!$C$11,R58='Tabla Impacto'!$D$11),"Leve",IF(OR(R58='Tabla Impacto'!$C$12,R58='Tabla Impacto'!$D$12),"Menor",IF(OR(R58='Tabla Impacto'!$C$13,R58='Tabla Impacto'!$D$13),"Moderado",IF(OR(R58='Tabla Impacto'!$C$14,R58='Tabla Impacto'!$D$14),"Mayor",IF(OR(R58='Tabla Impacto'!$C$15,R58='Tabla Impacto'!$D$15),"Catastrófico","")))))</f>
        <v>Menor</v>
      </c>
      <c r="T58" s="322">
        <f>IF(S58="","",IF(S58="Leve",0.2,IF(S58="Menor",0.4,IF(S58="Moderado",0.6,IF(S58="Mayor",0.8,IF(S58="Catastrófico",1,))))))</f>
        <v>0.4</v>
      </c>
      <c r="U58" s="340" t="str">
        <f>IF(OR(AND(O58="Muy Baja",S58="Leve"),AND(O58="Muy Baja",S58="Menor"),AND(O58="Baja",S58="Leve")),"Bajo",IF(OR(AND(O58="Muy baja",S58="Moderado"),AND(O58="Baja",S58="Menor"),AND(O58="Baja",S58="Moderado"),AND(O58="Media",S58="Leve"),AND(O58="Media",S58="Menor"),AND(O58="Media",S58="Moderado"),AND(O58="Alta",S58="Leve"),AND(O58="Alta",S58="Menor")),"Moderado",IF(OR(AND(O58="Muy Baja",S58="Mayor"),AND(O58="Baja",S58="Mayor"),AND(O58="Media",S58="Mayor"),AND(O58="Alta",S58="Moderado"),AND(O58="Alta",S58="Mayor"),AND(O58="Muy Alta",S58="Leve"),AND(O58="Muy Alta",S58="Menor"),AND(O58="Muy Alta",S58="Moderado"),AND(O58="Muy Alta",S58="Mayor")),"Alto",IF(OR(AND(O58="Muy Baja",S58="Catastrófico"),AND(O58="Baja",S58="Catastrófico"),AND(O58="Media",S58="Catastrófico"),AND(O58="Alta",S58="Catastrófico"),AND(O58="Muy Alta",S58="Catastrófico")),"Extremo",""))))</f>
        <v>Moderado</v>
      </c>
      <c r="V58" s="142">
        <v>1</v>
      </c>
      <c r="W58" s="153" t="s">
        <v>445</v>
      </c>
      <c r="X58" s="92" t="str">
        <f>IF(OR(Y58="Preventivo",Y58="Detectivo"),"Probabilidad",IF(Y58="Correctivo","Impacto",""))</f>
        <v>Probabilidad</v>
      </c>
      <c r="Y58" s="93" t="s">
        <v>14</v>
      </c>
      <c r="Z58" s="93" t="s">
        <v>9</v>
      </c>
      <c r="AA58" s="94" t="str">
        <f>IF(AND(Y58="Preventivo",Z58="Automático"),"50%",IF(AND(Y58="Preventivo",Z58="Manual"),"40%",IF(AND(Y58="Detectivo",Z58="Automático"),"40%",IF(AND(Y58="Detectivo",Z58="Manual"),"30%",IF(AND(Y58="Correctivo",Z58="Automático"),"35%",IF(AND(Y58="Correctivo",Z58="Manual"),"25%",""))))))</f>
        <v>40%</v>
      </c>
      <c r="AB58" s="93" t="s">
        <v>19</v>
      </c>
      <c r="AC58" s="93" t="s">
        <v>23</v>
      </c>
      <c r="AD58" s="93" t="s">
        <v>117</v>
      </c>
      <c r="AE58" s="181">
        <f>IFERROR(IF(X58="Probabilidad",(P58-(+P58*AA58)),IF(X58="Impacto",P58,"")),"")</f>
        <v>0.24</v>
      </c>
      <c r="AF58" s="95" t="str">
        <f>IFERROR(IF(AE58="","",IF(AE58&lt;=0.2,"Muy Baja",IF(AE58&lt;=0.4,"Baja",IF(AE58&lt;=0.6,"Media",IF(AE58&lt;=0.8,"Alta","Muy Alta"))))),"")</f>
        <v>Baja</v>
      </c>
      <c r="AG58" s="116">
        <f>+AE58</f>
        <v>0.24</v>
      </c>
      <c r="AH58" s="95" t="str">
        <f>IFERROR(IF(AI58="","",IF(AI58&lt;=0.2,"Leve",IF(AI58&lt;=0.4,"Menor",IF(AI58&lt;=0.6,"Moderado",IF(AI58&lt;=0.8,"Mayor","Catastrófico"))))),"")</f>
        <v>Menor</v>
      </c>
      <c r="AI58" s="116">
        <f>IFERROR(IF(X58="Impacto",(T58-(+T58*AA58)),IF(X58="Probabilidad",T58,"")),"")</f>
        <v>0.4</v>
      </c>
      <c r="AJ58" s="97" t="str">
        <f>IFERROR(IF(OR(AND(AF58="Muy Baja",AH58="Leve"),AND(AF58="Muy Baja",AH58="Menor"),AND(AF58="Baja",AH58="Leve")),"Bajo",IF(OR(AND(AF58="Muy baja",AH58="Moderado"),AND(AF58="Baja",AH58="Menor"),AND(AF58="Baja",AH58="Moderado"),AND(AF58="Media",AH58="Leve"),AND(AF58="Media",AH58="Menor"),AND(AF58="Media",AH58="Moderado"),AND(AF58="Alta",AH58="Leve"),AND(AF58="Alta",AH58="Menor")),"Moderado",IF(OR(AND(AF58="Muy Baja",AH58="Mayor"),AND(AF58="Baja",AH58="Mayor"),AND(AF58="Media",AH58="Mayor"),AND(AF58="Alta",AH58="Moderado"),AND(AF58="Alta",AH58="Mayor"),AND(AF58="Muy Alta",AH58="Leve"),AND(AF58="Muy Alta",AH58="Menor"),AND(AF58="Muy Alta",AH58="Moderado"),AND(AF58="Muy Alta",AH58="Mayor")),"Alto",IF(OR(AND(AF58="Muy Baja",AH58="Catastrófico"),AND(AF58="Baja",AH58="Catastrófico"),AND(AF58="Media",AH58="Catastrófico"),AND(AF58="Alta",AH58="Catastrófico"),AND(AF58="Muy Alta",AH58="Catastrófico")),"Extremo","")))),"")</f>
        <v>Moderado</v>
      </c>
      <c r="AK58" s="398" t="s">
        <v>31</v>
      </c>
      <c r="AL58" s="280" t="s">
        <v>570</v>
      </c>
      <c r="AM58" s="280" t="s">
        <v>223</v>
      </c>
      <c r="AN58" s="280" t="s">
        <v>223</v>
      </c>
      <c r="AO58" s="280" t="s">
        <v>223</v>
      </c>
      <c r="AP58" s="280" t="s">
        <v>223</v>
      </c>
      <c r="AQ58" s="280" t="s">
        <v>223</v>
      </c>
      <c r="AR58" s="280" t="s">
        <v>223</v>
      </c>
    </row>
    <row r="59" spans="1:44" ht="64.5" customHeight="1" x14ac:dyDescent="0.3">
      <c r="A59" s="332"/>
      <c r="B59" s="332"/>
      <c r="C59" s="332"/>
      <c r="D59" s="332"/>
      <c r="E59" s="332"/>
      <c r="F59" s="332"/>
      <c r="G59" s="136" t="s">
        <v>444</v>
      </c>
      <c r="H59" s="332"/>
      <c r="I59" s="314"/>
      <c r="J59" s="314"/>
      <c r="K59" s="314"/>
      <c r="L59" s="314"/>
      <c r="M59" s="312"/>
      <c r="N59" s="343"/>
      <c r="O59" s="320"/>
      <c r="P59" s="323"/>
      <c r="Q59" s="326"/>
      <c r="R59" s="323">
        <f>IF(NOT(ISERROR(MATCH(Q59,_xlfn.ANCHORARRAY(H65),0))),P67&amp;"Por favor no seleccionar los criterios de impacto",Q59)</f>
        <v>0</v>
      </c>
      <c r="S59" s="320"/>
      <c r="T59" s="323"/>
      <c r="U59" s="349"/>
      <c r="V59" s="99">
        <v>2</v>
      </c>
      <c r="W59" s="153" t="s">
        <v>446</v>
      </c>
      <c r="X59" s="92" t="str">
        <f>IF(OR(Y59="Preventivo",Y59="Detectivo"),"Probabilidad",IF(Y59="Correctivo","Impacto",""))</f>
        <v>Probabilidad</v>
      </c>
      <c r="Y59" s="93" t="s">
        <v>14</v>
      </c>
      <c r="Z59" s="93" t="s">
        <v>9</v>
      </c>
      <c r="AA59" s="94" t="str">
        <f>IF(AND(Y59="Preventivo",Z59="Automático"),"50%",IF(AND(Y59="Preventivo",Z59="Manual"),"40%",IF(AND(Y59="Detectivo",Z59="Automático"),"40%",IF(AND(Y59="Detectivo",Z59="Manual"),"30%",IF(AND(Y59="Correctivo",Z59="Automático"),"35%",IF(AND(Y59="Correctivo",Z59="Manual"),"25%",""))))))</f>
        <v>40%</v>
      </c>
      <c r="AB59" s="93" t="s">
        <v>19</v>
      </c>
      <c r="AC59" s="93" t="s">
        <v>23</v>
      </c>
      <c r="AD59" s="93" t="s">
        <v>117</v>
      </c>
      <c r="AE59" s="181">
        <f>IFERROR(IF(AND(X58="Probabilidad",X59="Probabilidad"),(AG58-(+AG58*AA59)),IF(X59="Probabilidad",(P58-(+P58*AA59)),IF(X59="Impacto",AG58,""))),"")</f>
        <v>0.14399999999999999</v>
      </c>
      <c r="AF59" s="95" t="str">
        <f>IFERROR(IF(AE59="","",IF(AE59&lt;=0.2,"Muy Baja",IF(AE59&lt;=0.4,"Baja",IF(AE59&lt;=0.6,"Media",IF(AE59&lt;=0.8,"Alta","Muy Alta"))))),"")</f>
        <v>Muy Baja</v>
      </c>
      <c r="AG59" s="116">
        <f>+AE59</f>
        <v>0.14399999999999999</v>
      </c>
      <c r="AH59" s="95" t="str">
        <f>IFERROR(IF(AI59="","",IF(AI59&lt;=0.2,"Leve",IF(AI59&lt;=0.4,"Menor",IF(AI59&lt;=0.6,"Moderado",IF(AI59&lt;=0.8,"Mayor","Catastrófico"))))),"")</f>
        <v>Menor</v>
      </c>
      <c r="AI59" s="116">
        <f>IFERROR(IF(AND(X58="Impacto",X59="Impacto"),(AI58-(+AI58*AA59)),IF(X59="Impacto",($T$15-(+$T$15*AA59)),IF(X59="Probabilidad",AI58,""))),"")</f>
        <v>0.4</v>
      </c>
      <c r="AJ59" s="97" t="str">
        <f>IFERROR(IF(OR(AND(AF59="Muy Baja",AH59="Leve"),AND(AF59="Muy Baja",AH59="Menor"),AND(AF59="Baja",AH59="Leve")),"Bajo",IF(OR(AND(AF59="Muy baja",AH59="Moderado"),AND(AF59="Baja",AH59="Menor"),AND(AF59="Baja",AH59="Moderado"),AND(AF59="Media",AH59="Leve"),AND(AF59="Media",AH59="Menor"),AND(AF59="Media",AH59="Moderado"),AND(AF59="Alta",AH59="Leve"),AND(AF59="Alta",AH59="Menor")),"Moderado",IF(OR(AND(AF59="Muy Baja",AH59="Mayor"),AND(AF59="Baja",AH59="Mayor"),AND(AF59="Media",AH59="Mayor"),AND(AF59="Alta",AH59="Moderado"),AND(AF59="Alta",AH59="Mayor"),AND(AF59="Muy Alta",AH59="Leve"),AND(AF59="Muy Alta",AH59="Menor"),AND(AF59="Muy Alta",AH59="Moderado"),AND(AF59="Muy Alta",AH59="Mayor")),"Alto",IF(OR(AND(AF59="Muy Baja",AH59="Catastrófico"),AND(AF59="Baja",AH59="Catastrófico"),AND(AF59="Media",AH59="Catastrófico"),AND(AF59="Alta",AH59="Catastrófico"),AND(AF59="Muy Alta",AH59="Catastrófico")),"Extremo","")))),"")</f>
        <v>Bajo</v>
      </c>
      <c r="AK59" s="399"/>
      <c r="AL59" s="281"/>
      <c r="AM59" s="281"/>
      <c r="AN59" s="281"/>
      <c r="AO59" s="281"/>
      <c r="AP59" s="281"/>
      <c r="AQ59" s="281"/>
      <c r="AR59" s="281"/>
    </row>
    <row r="60" spans="1:44" ht="96" customHeight="1" x14ac:dyDescent="0.3">
      <c r="A60" s="130" t="s">
        <v>447</v>
      </c>
      <c r="B60" s="130" t="s">
        <v>439</v>
      </c>
      <c r="C60" s="130" t="s">
        <v>441</v>
      </c>
      <c r="D60" s="130" t="s">
        <v>222</v>
      </c>
      <c r="E60" s="130" t="s">
        <v>130</v>
      </c>
      <c r="F60" s="130" t="s">
        <v>448</v>
      </c>
      <c r="G60" s="130" t="s">
        <v>449</v>
      </c>
      <c r="H60" s="130" t="s">
        <v>535</v>
      </c>
      <c r="I60" s="115" t="s">
        <v>230</v>
      </c>
      <c r="J60" s="115" t="s">
        <v>230</v>
      </c>
      <c r="K60" s="115" t="s">
        <v>230</v>
      </c>
      <c r="L60" s="115" t="s">
        <v>230</v>
      </c>
      <c r="M60" s="137" t="s">
        <v>121</v>
      </c>
      <c r="N60" s="175">
        <v>1</v>
      </c>
      <c r="O60" s="176" t="str">
        <f>IF(N60&lt;=0,"",IF(N60&lt;=2,"Muy Baja",IF(N60&lt;=24,"Baja",IF(N60&lt;=500,"Media",IF(N60&lt;=5000,"Alta","Muy Alta")))))</f>
        <v>Muy Baja</v>
      </c>
      <c r="P60" s="177">
        <f>IF(O60="","",IF(O60="Muy Baja",0.2,IF(O60="Baja",0.4,IF(O60="Media",0.6,IF(O60="Alta",0.8,IF(O60="Muy Alta",1,))))))</f>
        <v>0.2</v>
      </c>
      <c r="Q60" s="128" t="s">
        <v>150</v>
      </c>
      <c r="R60" s="122" t="str">
        <f>IF(NOT(ISERROR(MATCH(Q60,'Tabla Impacto'!$B$221:$B$223,0))),'Tabla Impacto'!$F$223&amp;"Por favor no seleccionar los criterios de impacto(Afectación Económica o presupuestal y Pérdida Reputacional)",Q60)</f>
        <v xml:space="preserve">     El riesgo afecta la imagen de la entidad con algunos usuarios de relevancia frente al logro de los objetivos</v>
      </c>
      <c r="S60" s="176" t="str">
        <f>IF(OR(R60='Tabla Impacto'!$C$11,R60='Tabla Impacto'!$D$11),"Leve",IF(OR(R60='Tabla Impacto'!$C$12,R60='Tabla Impacto'!$D$12),"Menor",IF(OR(R60='Tabla Impacto'!$C$13,R60='Tabla Impacto'!$D$13),"Moderado",IF(OR(R60='Tabla Impacto'!$C$14,R60='Tabla Impacto'!$D$14),"Mayor",IF(OR(R60='Tabla Impacto'!$C$15,R60='Tabla Impacto'!$D$15),"Catastrófico","")))))</f>
        <v>Moderado</v>
      </c>
      <c r="T60" s="177">
        <f>IF(S60="","",IF(S60="Leve",0.2,IF(S60="Menor",0.4,IF(S60="Moderado",0.6,IF(S60="Mayor",0.8,IF(S60="Catastrófico",1,))))))</f>
        <v>0.6</v>
      </c>
      <c r="U60" s="178" t="str">
        <f>IF(OR(AND(O60="Muy Baja",S60="Leve"),AND(O60="Muy Baja",S60="Menor"),AND(O60="Baja",S60="Leve")),"Bajo",IF(OR(AND(O60="Muy baja",S60="Moderado"),AND(O60="Baja",S60="Menor"),AND(O60="Baja",S60="Moderado"),AND(O60="Media",S60="Leve"),AND(O60="Media",S60="Menor"),AND(O60="Media",S60="Moderado"),AND(O60="Alta",S60="Leve"),AND(O60="Alta",S60="Menor")),"Moderado",IF(OR(AND(O60="Muy Baja",S60="Mayor"),AND(O60="Baja",S60="Mayor"),AND(O60="Media",S60="Mayor"),AND(O60="Alta",S60="Moderado"),AND(O60="Alta",S60="Mayor"),AND(O60="Muy Alta",S60="Leve"),AND(O60="Muy Alta",S60="Menor"),AND(O60="Muy Alta",S60="Moderado"),AND(O60="Muy Alta",S60="Mayor")),"Alto",IF(OR(AND(O60="Muy Baja",S60="Catastrófico"),AND(O60="Baja",S60="Catastrófico"),AND(O60="Media",S60="Catastrófico"),AND(O60="Alta",S60="Catastrófico"),AND(O60="Muy Alta",S60="Catastrófico")),"Extremo",""))))</f>
        <v>Moderado</v>
      </c>
      <c r="V60" s="142">
        <v>1</v>
      </c>
      <c r="W60" s="103" t="s">
        <v>450</v>
      </c>
      <c r="X60" s="92" t="str">
        <f>IF(OR(Y60="Preventivo",Y60="Detectivo"),"Probabilidad",IF(Y60="Correctivo","Impacto",""))</f>
        <v>Probabilidad</v>
      </c>
      <c r="Y60" s="93" t="s">
        <v>14</v>
      </c>
      <c r="Z60" s="93" t="s">
        <v>9</v>
      </c>
      <c r="AA60" s="94" t="str">
        <f>IF(AND(Y60="Preventivo",Z60="Automático"),"50%",IF(AND(Y60="Preventivo",Z60="Manual"),"40%",IF(AND(Y60="Detectivo",Z60="Automático"),"40%",IF(AND(Y60="Detectivo",Z60="Manual"),"30%",IF(AND(Y60="Correctivo",Z60="Automático"),"35%",IF(AND(Y60="Correctivo",Z60="Manual"),"25%",""))))))</f>
        <v>40%</v>
      </c>
      <c r="AB60" s="93" t="s">
        <v>19</v>
      </c>
      <c r="AC60" s="93" t="s">
        <v>23</v>
      </c>
      <c r="AD60" s="93" t="s">
        <v>117</v>
      </c>
      <c r="AE60" s="181">
        <f>IFERROR(IF(X60="Probabilidad",(P60-(+P60*AA60)),IF(X60="Impacto",P60,"")),"")</f>
        <v>0.12</v>
      </c>
      <c r="AF60" s="95" t="str">
        <f>IFERROR(IF(AE60="","",IF(AE60&lt;=0.2,"Muy Baja",IF(AE60&lt;=0.4,"Baja",IF(AE60&lt;=0.6,"Media",IF(AE60&lt;=0.8,"Alta","Muy Alta"))))),"")</f>
        <v>Muy Baja</v>
      </c>
      <c r="AG60" s="116">
        <f>+AE60</f>
        <v>0.12</v>
      </c>
      <c r="AH60" s="95" t="str">
        <f>IFERROR(IF(AI60="","",IF(AI60&lt;=0.2,"Leve",IF(AI60&lt;=0.4,"Menor",IF(AI60&lt;=0.6,"Moderado",IF(AI60&lt;=0.8,"Mayor","Catastrófico"))))),"")</f>
        <v>Moderado</v>
      </c>
      <c r="AI60" s="116">
        <f>IFERROR(IF(X60="Impacto",(T60-(+T60*AA60)),IF(X60="Probabilidad",T60,"")),"")</f>
        <v>0.6</v>
      </c>
      <c r="AJ60" s="97" t="str">
        <f>IFERROR(IF(OR(AND(AF60="Muy Baja",AH60="Leve"),AND(AF60="Muy Baja",AH60="Menor"),AND(AF60="Baja",AH60="Leve")),"Bajo",IF(OR(AND(AF60="Muy baja",AH60="Moderado"),AND(AF60="Baja",AH60="Menor"),AND(AF60="Baja",AH60="Moderado"),AND(AF60="Media",AH60="Leve"),AND(AF60="Media",AH60="Menor"),AND(AF60="Media",AH60="Moderado"),AND(AF60="Alta",AH60="Leve"),AND(AF60="Alta",AH60="Menor")),"Moderado",IF(OR(AND(AF60="Muy Baja",AH60="Mayor"),AND(AF60="Baja",AH60="Mayor"),AND(AF60="Media",AH60="Mayor"),AND(AF60="Alta",AH60="Moderado"),AND(AF60="Alta",AH60="Mayor"),AND(AF60="Muy Alta",AH60="Leve"),AND(AF60="Muy Alta",AH60="Menor"),AND(AF60="Muy Alta",AH60="Moderado"),AND(AF60="Muy Alta",AH60="Mayor")),"Alto",IF(OR(AND(AF60="Muy Baja",AH60="Catastrófico"),AND(AF60="Baja",AH60="Catastrófico"),AND(AF60="Media",AH60="Catastrófico"),AND(AF60="Alta",AH60="Catastrófico"),AND(AF60="Muy Alta",AH60="Catastrófico")),"Extremo","")))),"")</f>
        <v>Moderado</v>
      </c>
      <c r="AK60" s="117" t="s">
        <v>132</v>
      </c>
      <c r="AL60" s="99" t="s">
        <v>451</v>
      </c>
      <c r="AM60" s="99" t="s">
        <v>453</v>
      </c>
      <c r="AN60" s="112" t="s">
        <v>452</v>
      </c>
      <c r="AO60" s="101">
        <v>44508</v>
      </c>
      <c r="AP60" s="99" t="s">
        <v>536</v>
      </c>
      <c r="AQ60" s="100" t="s">
        <v>40</v>
      </c>
      <c r="AR60" s="99" t="s">
        <v>454</v>
      </c>
    </row>
    <row r="61" spans="1:44" ht="147" customHeight="1" x14ac:dyDescent="0.3">
      <c r="A61" s="130" t="s">
        <v>455</v>
      </c>
      <c r="B61" s="130" t="s">
        <v>460</v>
      </c>
      <c r="C61" s="130" t="s">
        <v>459</v>
      </c>
      <c r="D61" s="130" t="s">
        <v>222</v>
      </c>
      <c r="E61" s="130" t="s">
        <v>130</v>
      </c>
      <c r="F61" s="130" t="s">
        <v>457</v>
      </c>
      <c r="G61" s="130" t="s">
        <v>458</v>
      </c>
      <c r="H61" s="130" t="s">
        <v>456</v>
      </c>
      <c r="I61" s="131" t="s">
        <v>230</v>
      </c>
      <c r="J61" s="131" t="s">
        <v>230</v>
      </c>
      <c r="K61" s="131" t="s">
        <v>230</v>
      </c>
      <c r="L61" s="131" t="s">
        <v>230</v>
      </c>
      <c r="M61" s="137" t="s">
        <v>121</v>
      </c>
      <c r="N61" s="164">
        <v>206</v>
      </c>
      <c r="O61" s="165" t="str">
        <f>IF(N61&lt;=0,"",IF(N61&lt;=2,"Muy Baja",IF(N61&lt;=24,"Baja",IF(N61&lt;=500,"Media",IF(N61&lt;=5000,"Alta","Muy Alta")))))</f>
        <v>Media</v>
      </c>
      <c r="P61" s="162">
        <f>IF(O61="","",IF(O61="Muy Baja",0.2,IF(O61="Baja",0.4,IF(O61="Media",0.6,IF(O61="Alta",0.8,IF(O61="Muy Alta",1,))))))</f>
        <v>0.6</v>
      </c>
      <c r="Q61" s="128" t="s">
        <v>150</v>
      </c>
      <c r="R61" s="122" t="str">
        <f>IF(NOT(ISERROR(MATCH(Q61,'Tabla Impacto'!$B$221:$B$223,0))),'Tabla Impacto'!$F$223&amp;"Por favor no seleccionar los criterios de impacto(Afectación Económica o presupuestal y Pérdida Reputacional)",Q61)</f>
        <v xml:space="preserve">     El riesgo afecta la imagen de la entidad con algunos usuarios de relevancia frente al logro de los objetivos</v>
      </c>
      <c r="S61" s="165" t="str">
        <f>IF(OR(R61='Tabla Impacto'!$C$11,R61='Tabla Impacto'!$D$11),"Leve",IF(OR(R61='Tabla Impacto'!$C$12,R61='Tabla Impacto'!$D$12),"Menor",IF(OR(R61='Tabla Impacto'!$C$13,R61='Tabla Impacto'!$D$13),"Moderado",IF(OR(R61='Tabla Impacto'!$C$14,R61='Tabla Impacto'!$D$14),"Mayor",IF(OR(R61='Tabla Impacto'!$C$15,R61='Tabla Impacto'!$D$15),"Catastrófico","")))))</f>
        <v>Moderado</v>
      </c>
      <c r="T61" s="162">
        <f>IF(S61="","",IF(S61="Leve",0.2,IF(S61="Menor",0.4,IF(S61="Moderado",0.6,IF(S61="Mayor",0.8,IF(S61="Catastrófico",1,))))))</f>
        <v>0.6</v>
      </c>
      <c r="U61" s="163" t="str">
        <f>IF(OR(AND(O61="Muy Baja",S61="Leve"),AND(O61="Muy Baja",S61="Menor"),AND(O61="Baja",S61="Leve")),"Bajo",IF(OR(AND(O61="Muy baja",S61="Moderado"),AND(O61="Baja",S61="Menor"),AND(O61="Baja",S61="Moderado"),AND(O61="Media",S61="Leve"),AND(O61="Media",S61="Menor"),AND(O61="Media",S61="Moderado"),AND(O61="Alta",S61="Leve"),AND(O61="Alta",S61="Menor")),"Moderado",IF(OR(AND(O61="Muy Baja",S61="Mayor"),AND(O61="Baja",S61="Mayor"),AND(O61="Media",S61="Mayor"),AND(O61="Alta",S61="Moderado"),AND(O61="Alta",S61="Mayor"),AND(O61="Muy Alta",S61="Leve"),AND(O61="Muy Alta",S61="Menor"),AND(O61="Muy Alta",S61="Moderado"),AND(O61="Muy Alta",S61="Mayor")),"Alto",IF(OR(AND(O61="Muy Baja",S61="Catastrófico"),AND(O61="Baja",S61="Catastrófico"),AND(O61="Media",S61="Catastrófico"),AND(O61="Alta",S61="Catastrófico"),AND(O61="Muy Alta",S61="Catastrófico")),"Extremo",""))))</f>
        <v>Moderado</v>
      </c>
      <c r="V61" s="142">
        <v>1</v>
      </c>
      <c r="W61" s="118" t="s">
        <v>461</v>
      </c>
      <c r="X61" s="92" t="str">
        <f>IF(OR(Y61="Preventivo",Y61="Detectivo"),"Probabilidad",IF(Y61="Correctivo","Impacto",""))</f>
        <v>Probabilidad</v>
      </c>
      <c r="Y61" s="93" t="s">
        <v>14</v>
      </c>
      <c r="Z61" s="93" t="s">
        <v>9</v>
      </c>
      <c r="AA61" s="94" t="str">
        <f>IF(AND(Y61="Preventivo",Z61="Automático"),"50%",IF(AND(Y61="Preventivo",Z61="Manual"),"40%",IF(AND(Y61="Detectivo",Z61="Automático"),"40%",IF(AND(Y61="Detectivo",Z61="Manual"),"30%",IF(AND(Y61="Correctivo",Z61="Automático"),"35%",IF(AND(Y61="Correctivo",Z61="Manual"),"25%",""))))))</f>
        <v>40%</v>
      </c>
      <c r="AB61" s="93" t="s">
        <v>19</v>
      </c>
      <c r="AC61" s="93" t="s">
        <v>22</v>
      </c>
      <c r="AD61" s="93" t="s">
        <v>117</v>
      </c>
      <c r="AE61" s="181">
        <f>IFERROR(IF(X61="Probabilidad",(P61-(+P61*AA61)),IF(X61="Impacto",P61,"")),"")</f>
        <v>0.36</v>
      </c>
      <c r="AF61" s="95" t="str">
        <f>IFERROR(IF(AE61="","",IF(AE61&lt;=0.2,"Muy Baja",IF(AE61&lt;=0.4,"Baja",IF(AE61&lt;=0.6,"Media",IF(AE61&lt;=0.8,"Alta","Muy Alta"))))),"")</f>
        <v>Baja</v>
      </c>
      <c r="AG61" s="133">
        <f>+AE61</f>
        <v>0.36</v>
      </c>
      <c r="AH61" s="95" t="str">
        <f>IFERROR(IF(AI61="","",IF(AI61&lt;=0.2,"Leve",IF(AI61&lt;=0.4,"Menor",IF(AI61&lt;=0.6,"Moderado",IF(AI61&lt;=0.8,"Mayor","Catastrófico"))))),"")</f>
        <v>Moderado</v>
      </c>
      <c r="AI61" s="133">
        <f>IFERROR(IF(X61="Impacto",(T61-(+T61*AA61)),IF(X61="Probabilidad",T61,"")),"")</f>
        <v>0.6</v>
      </c>
      <c r="AJ61" s="97" t="str">
        <f>IFERROR(IF(OR(AND(AF61="Muy Baja",AH61="Leve"),AND(AF61="Muy Baja",AH61="Menor"),AND(AF61="Baja",AH61="Leve")),"Bajo",IF(OR(AND(AF61="Muy baja",AH61="Moderado"),AND(AF61="Baja",AH61="Menor"),AND(AF61="Baja",AH61="Moderado"),AND(AF61="Media",AH61="Leve"),AND(AF61="Media",AH61="Menor"),AND(AF61="Media",AH61="Moderado"),AND(AF61="Alta",AH61="Leve"),AND(AF61="Alta",AH61="Menor")),"Moderado",IF(OR(AND(AF61="Muy Baja",AH61="Mayor"),AND(AF61="Baja",AH61="Mayor"),AND(AF61="Media",AH61="Mayor"),AND(AF61="Alta",AH61="Moderado"),AND(AF61="Alta",AH61="Mayor"),AND(AF61="Muy Alta",AH61="Leve"),AND(AF61="Muy Alta",AH61="Menor"),AND(AF61="Muy Alta",AH61="Moderado"),AND(AF61="Muy Alta",AH61="Mayor")),"Alto",IF(OR(AND(AF61="Muy Baja",AH61="Catastrófico"),AND(AF61="Baja",AH61="Catastrófico"),AND(AF61="Media",AH61="Catastrófico"),AND(AF61="Alta",AH61="Catastrófico"),AND(AF61="Muy Alta",AH61="Catastrófico")),"Extremo","")))),"")</f>
        <v>Moderado</v>
      </c>
      <c r="AK61" s="132" t="s">
        <v>132</v>
      </c>
      <c r="AL61" s="99" t="s">
        <v>462</v>
      </c>
      <c r="AM61" s="99" t="s">
        <v>248</v>
      </c>
      <c r="AN61" s="112" t="s">
        <v>463</v>
      </c>
      <c r="AO61" s="101">
        <v>44504</v>
      </c>
      <c r="AP61" s="99" t="s">
        <v>526</v>
      </c>
      <c r="AQ61" s="100" t="s">
        <v>41</v>
      </c>
      <c r="AR61" s="99" t="s">
        <v>250</v>
      </c>
    </row>
    <row r="62" spans="1:44" ht="132" customHeight="1" x14ac:dyDescent="0.3">
      <c r="A62" s="331" t="s">
        <v>467</v>
      </c>
      <c r="B62" s="331" t="s">
        <v>460</v>
      </c>
      <c r="C62" s="331" t="s">
        <v>459</v>
      </c>
      <c r="D62" s="331" t="s">
        <v>222</v>
      </c>
      <c r="E62" s="331" t="s">
        <v>130</v>
      </c>
      <c r="F62" s="331" t="s">
        <v>465</v>
      </c>
      <c r="G62" s="331" t="s">
        <v>466</v>
      </c>
      <c r="H62" s="331" t="s">
        <v>464</v>
      </c>
      <c r="I62" s="313" t="s">
        <v>230</v>
      </c>
      <c r="J62" s="313" t="s">
        <v>230</v>
      </c>
      <c r="K62" s="313" t="s">
        <v>230</v>
      </c>
      <c r="L62" s="313" t="s">
        <v>230</v>
      </c>
      <c r="M62" s="280" t="s">
        <v>121</v>
      </c>
      <c r="N62" s="316">
        <v>206</v>
      </c>
      <c r="O62" s="319" t="str">
        <f t="shared" ref="O62" si="77">IF(N62&lt;=0,"",IF(N62&lt;=2,"Muy Baja",IF(N62&lt;=24,"Baja",IF(N62&lt;=500,"Media",IF(N62&lt;=5000,"Alta","Muy Alta")))))</f>
        <v>Media</v>
      </c>
      <c r="P62" s="322">
        <f t="shared" ref="P62" si="78">IF(O62="","",IF(O62="Muy Baja",0.2,IF(O62="Baja",0.4,IF(O62="Media",0.6,IF(O62="Alta",0.8,IF(O62="Muy Alta",1,))))))</f>
        <v>0.6</v>
      </c>
      <c r="Q62" s="325" t="s">
        <v>150</v>
      </c>
      <c r="R62" s="322" t="str">
        <f>IF(NOT(ISERROR(MATCH(Q62,'Tabla Impacto'!$B$221:$B$223,0))),'Tabla Impacto'!$F$223&amp;"Por favor no seleccionar los criterios de impacto(Afectación Económica o presupuestal y Pérdida Reputacional)",Q62)</f>
        <v xml:space="preserve">     El riesgo afecta la imagen de la entidad con algunos usuarios de relevancia frente al logro de los objetivos</v>
      </c>
      <c r="S62" s="319" t="str">
        <f>IF(OR(R62='Tabla Impacto'!$C$11,R62='Tabla Impacto'!$D$11),"Leve",IF(OR(R62='Tabla Impacto'!$C$12,R62='Tabla Impacto'!$D$12),"Menor",IF(OR(R62='Tabla Impacto'!$C$13,R62='Tabla Impacto'!$D$13),"Moderado",IF(OR(R62='Tabla Impacto'!$C$14,R62='Tabla Impacto'!$D$14),"Mayor",IF(OR(R62='Tabla Impacto'!$C$15,R62='Tabla Impacto'!$D$15),"Catastrófico","")))))</f>
        <v>Moderado</v>
      </c>
      <c r="T62" s="322">
        <f t="shared" ref="T62" si="79">IF(S62="","",IF(S62="Leve",0.2,IF(S62="Menor",0.4,IF(S62="Moderado",0.6,IF(S62="Mayor",0.8,IF(S62="Catastrófico",1,))))))</f>
        <v>0.6</v>
      </c>
      <c r="U62" s="340" t="str">
        <f t="shared" ref="U62" si="80">IF(OR(AND(O62="Muy Baja",S62="Leve"),AND(O62="Muy Baja",S62="Menor"),AND(O62="Baja",S62="Leve")),"Bajo",IF(OR(AND(O62="Muy baja",S62="Moderado"),AND(O62="Baja",S62="Menor"),AND(O62="Baja",S62="Moderado"),AND(O62="Media",S62="Leve"),AND(O62="Media",S62="Menor"),AND(O62="Media",S62="Moderado"),AND(O62="Alta",S62="Leve"),AND(O62="Alta",S62="Menor")),"Moderado",IF(OR(AND(O62="Muy Baja",S62="Mayor"),AND(O62="Baja",S62="Mayor"),AND(O62="Media",S62="Mayor"),AND(O62="Alta",S62="Moderado"),AND(O62="Alta",S62="Mayor"),AND(O62="Muy Alta",S62="Leve"),AND(O62="Muy Alta",S62="Menor"),AND(O62="Muy Alta",S62="Moderado"),AND(O62="Muy Alta",S62="Mayor")),"Alto",IF(OR(AND(O62="Muy Baja",S62="Catastrófico"),AND(O62="Baja",S62="Catastrófico"),AND(O62="Media",S62="Catastrófico"),AND(O62="Alta",S62="Catastrófico"),AND(O62="Muy Alta",S62="Catastrófico")),"Extremo",""))))</f>
        <v>Moderado</v>
      </c>
      <c r="V62" s="91">
        <v>1</v>
      </c>
      <c r="W62" s="153" t="s">
        <v>468</v>
      </c>
      <c r="X62" s="92" t="str">
        <f t="shared" ref="X62:X64" si="81">IF(OR(Y62="Preventivo",Y62="Detectivo"),"Probabilidad",IF(Y62="Correctivo","Impacto",""))</f>
        <v>Probabilidad</v>
      </c>
      <c r="Y62" s="93" t="s">
        <v>14</v>
      </c>
      <c r="Z62" s="93" t="s">
        <v>9</v>
      </c>
      <c r="AA62" s="94" t="str">
        <f t="shared" ref="AA62:AA63" si="82">IF(AND(Y62="Preventivo",Z62="Automático"),"50%",IF(AND(Y62="Preventivo",Z62="Manual"),"40%",IF(AND(Y62="Detectivo",Z62="Automático"),"40%",IF(AND(Y62="Detectivo",Z62="Manual"),"30%",IF(AND(Y62="Correctivo",Z62="Automático"),"35%",IF(AND(Y62="Correctivo",Z62="Manual"),"25%",""))))))</f>
        <v>40%</v>
      </c>
      <c r="AB62" s="93" t="s">
        <v>19</v>
      </c>
      <c r="AC62" s="93" t="s">
        <v>22</v>
      </c>
      <c r="AD62" s="93" t="s">
        <v>117</v>
      </c>
      <c r="AE62" s="181">
        <f t="shared" ref="AE62" si="83">IFERROR(IF(X62="Probabilidad",(P62-(+P62*AA62)),IF(X62="Impacto",P62,"")),"")</f>
        <v>0.36</v>
      </c>
      <c r="AF62" s="95" t="str">
        <f t="shared" ref="AF62:AF64" si="84">IFERROR(IF(AE62="","",IF(AE62&lt;=0.2,"Muy Baja",IF(AE62&lt;=0.4,"Baja",IF(AE62&lt;=0.6,"Media",IF(AE62&lt;=0.8,"Alta","Muy Alta"))))),"")</f>
        <v>Baja</v>
      </c>
      <c r="AG62" s="133">
        <f t="shared" ref="AG62:AG63" si="85">+AE62</f>
        <v>0.36</v>
      </c>
      <c r="AH62" s="95" t="str">
        <f t="shared" ref="AH62:AH64" si="86">IFERROR(IF(AI62="","",IF(AI62&lt;=0.2,"Leve",IF(AI62&lt;=0.4,"Menor",IF(AI62&lt;=0.6,"Moderado",IF(AI62&lt;=0.8,"Mayor","Catastrófico"))))),"")</f>
        <v>Moderado</v>
      </c>
      <c r="AI62" s="133">
        <f t="shared" ref="AI62" si="87">IFERROR(IF(X62="Impacto",(T62-(+T62*AA62)),IF(X62="Probabilidad",T62,"")),"")</f>
        <v>0.6</v>
      </c>
      <c r="AJ62" s="97" t="str">
        <f t="shared" ref="AJ62:AJ63" si="88">IFERROR(IF(OR(AND(AF62="Muy Baja",AH62="Leve"),AND(AF62="Muy Baja",AH62="Menor"),AND(AF62="Baja",AH62="Leve")),"Bajo",IF(OR(AND(AF62="Muy baja",AH62="Moderado"),AND(AF62="Baja",AH62="Menor"),AND(AF62="Baja",AH62="Moderado"),AND(AF62="Media",AH62="Leve"),AND(AF62="Media",AH62="Menor"),AND(AF62="Media",AH62="Moderado"),AND(AF62="Alta",AH62="Leve"),AND(AF62="Alta",AH62="Menor")),"Moderado",IF(OR(AND(AF62="Muy Baja",AH62="Mayor"),AND(AF62="Baja",AH62="Mayor"),AND(AF62="Media",AH62="Mayor"),AND(AF62="Alta",AH62="Moderado"),AND(AF62="Alta",AH62="Mayor"),AND(AF62="Muy Alta",AH62="Leve"),AND(AF62="Muy Alta",AH62="Menor"),AND(AF62="Muy Alta",AH62="Moderado"),AND(AF62="Muy Alta",AH62="Mayor")),"Alto",IF(OR(AND(AF62="Muy Baja",AH62="Catastrófico"),AND(AF62="Baja",AH62="Catastrófico"),AND(AF62="Media",AH62="Catastrófico"),AND(AF62="Alta",AH62="Catastrófico"),AND(AF62="Muy Alta",AH62="Catastrófico")),"Extremo","")))),"")</f>
        <v>Moderado</v>
      </c>
      <c r="AK62" s="398" t="s">
        <v>132</v>
      </c>
      <c r="AL62" s="99" t="s">
        <v>528</v>
      </c>
      <c r="AM62" s="99" t="s">
        <v>248</v>
      </c>
      <c r="AN62" s="112" t="s">
        <v>463</v>
      </c>
      <c r="AO62" s="101">
        <v>44504</v>
      </c>
      <c r="AP62" s="99" t="s">
        <v>530</v>
      </c>
      <c r="AQ62" s="100" t="s">
        <v>41</v>
      </c>
      <c r="AR62" s="99" t="s">
        <v>250</v>
      </c>
    </row>
    <row r="63" spans="1:44" ht="107.25" customHeight="1" x14ac:dyDescent="0.3">
      <c r="A63" s="332"/>
      <c r="B63" s="332"/>
      <c r="C63" s="332"/>
      <c r="D63" s="332"/>
      <c r="E63" s="332"/>
      <c r="F63" s="332"/>
      <c r="G63" s="332"/>
      <c r="H63" s="332"/>
      <c r="I63" s="314"/>
      <c r="J63" s="314"/>
      <c r="K63" s="314"/>
      <c r="L63" s="314"/>
      <c r="M63" s="312"/>
      <c r="N63" s="318"/>
      <c r="O63" s="321"/>
      <c r="P63" s="324"/>
      <c r="Q63" s="327"/>
      <c r="R63" s="324"/>
      <c r="S63" s="321"/>
      <c r="T63" s="324"/>
      <c r="U63" s="341"/>
      <c r="V63" s="161">
        <v>2</v>
      </c>
      <c r="W63" s="153" t="s">
        <v>527</v>
      </c>
      <c r="X63" s="92" t="str">
        <f t="shared" si="81"/>
        <v>Probabilidad</v>
      </c>
      <c r="Y63" s="93" t="s">
        <v>14</v>
      </c>
      <c r="Z63" s="93" t="s">
        <v>10</v>
      </c>
      <c r="AA63" s="94" t="str">
        <f t="shared" si="82"/>
        <v>50%</v>
      </c>
      <c r="AB63" s="93" t="s">
        <v>19</v>
      </c>
      <c r="AC63" s="93" t="s">
        <v>22</v>
      </c>
      <c r="AD63" s="93" t="s">
        <v>117</v>
      </c>
      <c r="AE63" s="181">
        <f>IFERROR(IF(AND(X62="Probabilidad",X63="Probabilidad"),(AG62-(+AG62*AA63)),IF(X63="Probabilidad",(P62-(+P62*AA63)),IF(X63="Impacto",AG62,""))),"")</f>
        <v>0.18</v>
      </c>
      <c r="AF63" s="95" t="str">
        <f t="shared" si="84"/>
        <v>Muy Baja</v>
      </c>
      <c r="AG63" s="133">
        <f t="shared" si="85"/>
        <v>0.18</v>
      </c>
      <c r="AH63" s="95" t="str">
        <f t="shared" si="86"/>
        <v>Moderado</v>
      </c>
      <c r="AI63" s="133">
        <f>IFERROR(IF(AND(X62="Impacto",X63="Impacto"),(AI62-(+AI62*AA63)),IF(X63="Impacto",($T$15-(+$T$15*AA63)),IF(X63="Probabilidad",AI62,""))),"")</f>
        <v>0.6</v>
      </c>
      <c r="AJ63" s="97" t="str">
        <f t="shared" si="88"/>
        <v>Moderado</v>
      </c>
      <c r="AK63" s="399"/>
      <c r="AL63" s="99" t="s">
        <v>469</v>
      </c>
      <c r="AM63" s="99" t="s">
        <v>248</v>
      </c>
      <c r="AN63" s="112" t="s">
        <v>463</v>
      </c>
      <c r="AO63" s="101">
        <v>44504</v>
      </c>
      <c r="AP63" s="99" t="s">
        <v>529</v>
      </c>
      <c r="AQ63" s="100" t="s">
        <v>41</v>
      </c>
      <c r="AR63" s="99" t="s">
        <v>250</v>
      </c>
    </row>
    <row r="64" spans="1:44" ht="83.25" customHeight="1" x14ac:dyDescent="0.3">
      <c r="A64" s="331" t="s">
        <v>471</v>
      </c>
      <c r="B64" s="331" t="s">
        <v>470</v>
      </c>
      <c r="C64" s="331" t="s">
        <v>472</v>
      </c>
      <c r="D64" s="331" t="s">
        <v>222</v>
      </c>
      <c r="E64" s="331" t="s">
        <v>130</v>
      </c>
      <c r="F64" s="331" t="s">
        <v>474</v>
      </c>
      <c r="G64" s="331" t="s">
        <v>475</v>
      </c>
      <c r="H64" s="331" t="s">
        <v>473</v>
      </c>
      <c r="I64" s="313" t="s">
        <v>230</v>
      </c>
      <c r="J64" s="313" t="s">
        <v>230</v>
      </c>
      <c r="K64" s="313" t="s">
        <v>230</v>
      </c>
      <c r="L64" s="313" t="s">
        <v>230</v>
      </c>
      <c r="M64" s="280" t="s">
        <v>121</v>
      </c>
      <c r="N64" s="342">
        <v>33</v>
      </c>
      <c r="O64" s="319" t="str">
        <f>IF(N64&lt;=0,"",IF(N64&lt;=2,"Muy Baja",IF(N64&lt;=24,"Baja",IF(N64&lt;=500,"Media",IF(N64&lt;=5000,"Alta","Muy Alta")))))</f>
        <v>Media</v>
      </c>
      <c r="P64" s="322">
        <f>IF(O64="","",IF(O64="Muy Baja",0.2,IF(O64="Baja",0.4,IF(O64="Media",0.6,IF(O64="Alta",0.8,IF(O64="Muy Alta",1,))))))</f>
        <v>0.6</v>
      </c>
      <c r="Q64" s="325" t="s">
        <v>150</v>
      </c>
      <c r="R64" s="322" t="str">
        <f>IF(NOT(ISERROR(MATCH(Q64,'Tabla Impacto'!$B$221:$B$223,0))),'Tabla Impacto'!$F$223&amp;"Por favor no seleccionar los criterios de impacto(Afectación Económica o presupuestal y Pérdida Reputacional)",Q64)</f>
        <v xml:space="preserve">     El riesgo afecta la imagen de la entidad con algunos usuarios de relevancia frente al logro de los objetivos</v>
      </c>
      <c r="S64" s="319" t="str">
        <f>IF(OR(R64='Tabla Impacto'!$C$11,R64='Tabla Impacto'!$D$11),"Leve",IF(OR(R64='Tabla Impacto'!$C$12,R64='Tabla Impacto'!$D$12),"Menor",IF(OR(R64='Tabla Impacto'!$C$13,R64='Tabla Impacto'!$D$13),"Moderado",IF(OR(R64='Tabla Impacto'!$C$14,R64='Tabla Impacto'!$D$14),"Mayor",IF(OR(R64='Tabla Impacto'!$C$15,R64='Tabla Impacto'!$D$15),"Catastrófico","")))))</f>
        <v>Moderado</v>
      </c>
      <c r="T64" s="322">
        <f>IF(S64="","",IF(S64="Leve",0.2,IF(S64="Menor",0.4,IF(S64="Moderado",0.6,IF(S64="Mayor",0.8,IF(S64="Catastrófico",1,))))))</f>
        <v>0.6</v>
      </c>
      <c r="U64" s="340" t="str">
        <f>IF(OR(AND(O64="Muy Baja",S64="Leve"),AND(O64="Muy Baja",S64="Menor"),AND(O64="Baja",S64="Leve")),"Bajo",IF(OR(AND(O64="Muy baja",S64="Moderado"),AND(O64="Baja",S64="Menor"),AND(O64="Baja",S64="Moderado"),AND(O64="Media",S64="Leve"),AND(O64="Media",S64="Menor"),AND(O64="Media",S64="Moderado"),AND(O64="Alta",S64="Leve"),AND(O64="Alta",S64="Menor")),"Moderado",IF(OR(AND(O64="Muy Baja",S64="Mayor"),AND(O64="Baja",S64="Mayor"),AND(O64="Media",S64="Mayor"),AND(O64="Alta",S64="Moderado"),AND(O64="Alta",S64="Mayor"),AND(O64="Muy Alta",S64="Leve"),AND(O64="Muy Alta",S64="Menor"),AND(O64="Muy Alta",S64="Moderado"),AND(O64="Muy Alta",S64="Mayor")),"Alto",IF(OR(AND(O64="Muy Baja",S64="Catastrófico"),AND(O64="Baja",S64="Catastrófico"),AND(O64="Media",S64="Catastrófico"),AND(O64="Alta",S64="Catastrófico"),AND(O64="Muy Alta",S64="Catastrófico")),"Extremo",""))))</f>
        <v>Moderado</v>
      </c>
      <c r="V64" s="334">
        <v>1</v>
      </c>
      <c r="W64" s="337" t="s">
        <v>476</v>
      </c>
      <c r="X64" s="301" t="str">
        <f t="shared" si="81"/>
        <v>Probabilidad</v>
      </c>
      <c r="Y64" s="276" t="s">
        <v>14</v>
      </c>
      <c r="Z64" s="276" t="s">
        <v>9</v>
      </c>
      <c r="AA64" s="278" t="str">
        <f t="shared" ref="AA64" si="89">IF(AND(Y64="Preventivo",Z64="Automático"),"50%",IF(AND(Y64="Preventivo",Z64="Manual"),"40%",IF(AND(Y64="Detectivo",Z64="Automático"),"40%",IF(AND(Y64="Detectivo",Z64="Manual"),"30%",IF(AND(Y64="Correctivo",Z64="Automático"),"35%",IF(AND(Y64="Correctivo",Z64="Manual"),"25%",""))))))</f>
        <v>40%</v>
      </c>
      <c r="AB64" s="276" t="s">
        <v>19</v>
      </c>
      <c r="AC64" s="276" t="s">
        <v>22</v>
      </c>
      <c r="AD64" s="276" t="s">
        <v>117</v>
      </c>
      <c r="AE64" s="401">
        <f t="shared" ref="AE64" si="90">IFERROR(IF(X64="Probabilidad",(P64-(+P64*AA64)),IF(X64="Impacto",P64,"")),"")</f>
        <v>0.36</v>
      </c>
      <c r="AF64" s="404" t="str">
        <f t="shared" si="84"/>
        <v>Baja</v>
      </c>
      <c r="AG64" s="278">
        <f t="shared" ref="AG64" si="91">+AE64</f>
        <v>0.36</v>
      </c>
      <c r="AH64" s="407" t="str">
        <f t="shared" si="86"/>
        <v>Moderado</v>
      </c>
      <c r="AI64" s="278">
        <f t="shared" ref="AI64" si="92">IFERROR(IF(X64="Impacto",(T64-(+T64*AA64)),IF(X64="Probabilidad",T64,"")),"")</f>
        <v>0.6</v>
      </c>
      <c r="AJ64" s="395" t="str">
        <f t="shared" ref="AJ64" si="93">IFERROR(IF(OR(AND(AF64="Muy Baja",AH64="Leve"),AND(AF64="Muy Baja",AH64="Menor"),AND(AF64="Baja",AH64="Leve")),"Bajo",IF(OR(AND(AF64="Muy baja",AH64="Moderado"),AND(AF64="Baja",AH64="Menor"),AND(AF64="Baja",AH64="Moderado"),AND(AF64="Media",AH64="Leve"),AND(AF64="Media",AH64="Menor"),AND(AF64="Media",AH64="Moderado"),AND(AF64="Alta",AH64="Leve"),AND(AF64="Alta",AH64="Menor")),"Moderado",IF(OR(AND(AF64="Muy Baja",AH64="Mayor"),AND(AF64="Baja",AH64="Mayor"),AND(AF64="Media",AH64="Mayor"),AND(AF64="Alta",AH64="Moderado"),AND(AF64="Alta",AH64="Mayor"),AND(AF64="Muy Alta",AH64="Leve"),AND(AF64="Muy Alta",AH64="Menor"),AND(AF64="Muy Alta",AH64="Moderado"),AND(AF64="Muy Alta",AH64="Mayor")),"Alto",IF(OR(AND(AF64="Muy Baja",AH64="Catastrófico"),AND(AF64="Baja",AH64="Catastrófico"),AND(AF64="Media",AH64="Catastrófico"),AND(AF64="Alta",AH64="Catastrófico"),AND(AF64="Muy Alta",AH64="Catastrófico")),"Extremo","")))),"")</f>
        <v>Moderado</v>
      </c>
      <c r="AK64" s="276" t="s">
        <v>132</v>
      </c>
      <c r="AL64" s="99" t="s">
        <v>477</v>
      </c>
      <c r="AM64" s="99" t="s">
        <v>479</v>
      </c>
      <c r="AN64" s="112" t="s">
        <v>480</v>
      </c>
      <c r="AO64" s="101">
        <v>44522</v>
      </c>
      <c r="AP64" s="236" t="s">
        <v>574</v>
      </c>
      <c r="AQ64" s="100" t="s">
        <v>41</v>
      </c>
      <c r="AR64" s="99" t="s">
        <v>483</v>
      </c>
    </row>
    <row r="65" spans="1:44" ht="81" customHeight="1" x14ac:dyDescent="0.3">
      <c r="A65" s="332"/>
      <c r="B65" s="332"/>
      <c r="C65" s="332"/>
      <c r="D65" s="332"/>
      <c r="E65" s="332"/>
      <c r="F65" s="332"/>
      <c r="G65" s="332"/>
      <c r="H65" s="332"/>
      <c r="I65" s="314"/>
      <c r="J65" s="314"/>
      <c r="K65" s="314"/>
      <c r="L65" s="314"/>
      <c r="M65" s="312"/>
      <c r="N65" s="343"/>
      <c r="O65" s="320"/>
      <c r="P65" s="323"/>
      <c r="Q65" s="326"/>
      <c r="R65" s="323">
        <f>IF(NOT(ISERROR(MATCH(Q65,_xlfn.ANCHORARRAY(H75),0))),#REF!&amp;"Por favor no seleccionar los criterios de impacto",Q65)</f>
        <v>0</v>
      </c>
      <c r="S65" s="320"/>
      <c r="T65" s="323"/>
      <c r="U65" s="349"/>
      <c r="V65" s="335"/>
      <c r="W65" s="338"/>
      <c r="X65" s="302"/>
      <c r="Y65" s="297"/>
      <c r="Z65" s="297"/>
      <c r="AA65" s="296"/>
      <c r="AB65" s="297"/>
      <c r="AC65" s="297"/>
      <c r="AD65" s="297"/>
      <c r="AE65" s="402"/>
      <c r="AF65" s="405"/>
      <c r="AG65" s="296"/>
      <c r="AH65" s="408"/>
      <c r="AI65" s="296"/>
      <c r="AJ65" s="396"/>
      <c r="AK65" s="297"/>
      <c r="AL65" s="99" t="s">
        <v>478</v>
      </c>
      <c r="AM65" s="99" t="s">
        <v>300</v>
      </c>
      <c r="AN65" s="112" t="s">
        <v>481</v>
      </c>
      <c r="AO65" s="101">
        <v>44522</v>
      </c>
      <c r="AP65" s="236" t="s">
        <v>575</v>
      </c>
      <c r="AQ65" s="100" t="s">
        <v>41</v>
      </c>
      <c r="AR65" s="99" t="s">
        <v>484</v>
      </c>
    </row>
    <row r="66" spans="1:44" ht="135" customHeight="1" x14ac:dyDescent="0.3">
      <c r="A66" s="332"/>
      <c r="B66" s="332"/>
      <c r="C66" s="332"/>
      <c r="D66" s="332"/>
      <c r="E66" s="332"/>
      <c r="F66" s="332"/>
      <c r="G66" s="332"/>
      <c r="H66" s="332"/>
      <c r="I66" s="315"/>
      <c r="J66" s="315"/>
      <c r="K66" s="315"/>
      <c r="L66" s="315"/>
      <c r="M66" s="312"/>
      <c r="N66" s="343"/>
      <c r="O66" s="320"/>
      <c r="P66" s="323"/>
      <c r="Q66" s="326"/>
      <c r="R66" s="323">
        <f>IF(NOT(ISERROR(MATCH(Q66,_xlfn.ANCHORARRAY(H76),0))),#REF!&amp;"Por favor no seleccionar los criterios de impacto",Q66)</f>
        <v>0</v>
      </c>
      <c r="S66" s="320"/>
      <c r="T66" s="323"/>
      <c r="U66" s="349"/>
      <c r="V66" s="336"/>
      <c r="W66" s="339"/>
      <c r="X66" s="303"/>
      <c r="Y66" s="277"/>
      <c r="Z66" s="277"/>
      <c r="AA66" s="279"/>
      <c r="AB66" s="277"/>
      <c r="AC66" s="277"/>
      <c r="AD66" s="277"/>
      <c r="AE66" s="403"/>
      <c r="AF66" s="406"/>
      <c r="AG66" s="279"/>
      <c r="AH66" s="409"/>
      <c r="AI66" s="279"/>
      <c r="AJ66" s="397"/>
      <c r="AK66" s="277"/>
      <c r="AL66" s="99" t="s">
        <v>567</v>
      </c>
      <c r="AM66" s="99" t="s">
        <v>300</v>
      </c>
      <c r="AN66" s="112" t="s">
        <v>482</v>
      </c>
      <c r="AO66" s="101">
        <v>44522</v>
      </c>
      <c r="AP66" s="99" t="s">
        <v>568</v>
      </c>
      <c r="AQ66" s="100" t="s">
        <v>40</v>
      </c>
      <c r="AR66" s="99" t="s">
        <v>569</v>
      </c>
    </row>
    <row r="67" spans="1:44" ht="117" customHeight="1" x14ac:dyDescent="0.3">
      <c r="A67" s="130" t="s">
        <v>486</v>
      </c>
      <c r="B67" s="130" t="s">
        <v>485</v>
      </c>
      <c r="C67" s="130" t="s">
        <v>487</v>
      </c>
      <c r="D67" s="130" t="s">
        <v>222</v>
      </c>
      <c r="E67" s="130" t="s">
        <v>130</v>
      </c>
      <c r="F67" s="130" t="s">
        <v>489</v>
      </c>
      <c r="G67" s="130" t="s">
        <v>490</v>
      </c>
      <c r="H67" s="130" t="s">
        <v>488</v>
      </c>
      <c r="I67" s="138" t="s">
        <v>230</v>
      </c>
      <c r="J67" s="138" t="s">
        <v>230</v>
      </c>
      <c r="K67" s="138" t="s">
        <v>230</v>
      </c>
      <c r="L67" s="138" t="s">
        <v>230</v>
      </c>
      <c r="M67" s="137" t="s">
        <v>121</v>
      </c>
      <c r="N67" s="157">
        <v>501</v>
      </c>
      <c r="O67" s="158" t="str">
        <f>IF(N67&lt;=0,"",IF(N67&lt;=2,"Muy Baja",IF(N67&lt;=24,"Baja",IF(N67&lt;=500,"Media",IF(N67&lt;=5000,"Alta","Muy Alta")))))</f>
        <v>Alta</v>
      </c>
      <c r="P67" s="155">
        <f>IF(O67="","",IF(O67="Muy Baja",0.2,IF(O67="Baja",0.4,IF(O67="Media",0.6,IF(O67="Alta",0.8,IF(O67="Muy Alta",1,))))))</f>
        <v>0.8</v>
      </c>
      <c r="Q67" s="128" t="s">
        <v>150</v>
      </c>
      <c r="R67" s="122" t="str">
        <f>IF(NOT(ISERROR(MATCH(Q67,'Tabla Impacto'!$B$221:$B$223,0))),'Tabla Impacto'!$F$223&amp;"Por favor no seleccionar los criterios de impacto(Afectación Económica o presupuestal y Pérdida Reputacional)",Q67)</f>
        <v xml:space="preserve">     El riesgo afecta la imagen de la entidad con algunos usuarios de relevancia frente al logro de los objetivos</v>
      </c>
      <c r="S67" s="158" t="str">
        <f>IF(OR(R67='Tabla Impacto'!$C$11,R67='Tabla Impacto'!$D$11),"Leve",IF(OR(R67='Tabla Impacto'!$C$12,R67='Tabla Impacto'!$D$12),"Menor",IF(OR(R67='Tabla Impacto'!$C$13,R67='Tabla Impacto'!$D$13),"Moderado",IF(OR(R67='Tabla Impacto'!$C$14,R67='Tabla Impacto'!$D$14),"Mayor",IF(OR(R67='Tabla Impacto'!$C$15,R67='Tabla Impacto'!$D$15),"Catastrófico","")))))</f>
        <v>Moderado</v>
      </c>
      <c r="T67" s="155">
        <f>IF(S67="","",IF(S67="Leve",0.2,IF(S67="Menor",0.4,IF(S67="Moderado",0.6,IF(S67="Mayor",0.8,IF(S67="Catastrófico",1,))))))</f>
        <v>0.6</v>
      </c>
      <c r="U67" s="156" t="str">
        <f>IF(OR(AND(O67="Muy Baja",S67="Leve"),AND(O67="Muy Baja",S67="Menor"),AND(O67="Baja",S67="Leve")),"Bajo",IF(OR(AND(O67="Muy baja",S67="Moderado"),AND(O67="Baja",S67="Menor"),AND(O67="Baja",S67="Moderado"),AND(O67="Media",S67="Leve"),AND(O67="Media",S67="Menor"),AND(O67="Media",S67="Moderado"),AND(O67="Alta",S67="Leve"),AND(O67="Alta",S67="Menor")),"Moderado",IF(OR(AND(O67="Muy Baja",S67="Mayor"),AND(O67="Baja",S67="Mayor"),AND(O67="Media",S67="Mayor"),AND(O67="Alta",S67="Moderado"),AND(O67="Alta",S67="Mayor"),AND(O67="Muy Alta",S67="Leve"),AND(O67="Muy Alta",S67="Menor"),AND(O67="Muy Alta",S67="Moderado"),AND(O67="Muy Alta",S67="Mayor")),"Alto",IF(OR(AND(O67="Muy Baja",S67="Catastrófico"),AND(O67="Baja",S67="Catastrófico"),AND(O67="Media",S67="Catastrófico"),AND(O67="Alta",S67="Catastrófico"),AND(O67="Muy Alta",S67="Catastrófico")),"Extremo",""))))</f>
        <v>Alto</v>
      </c>
      <c r="V67" s="91">
        <v>1</v>
      </c>
      <c r="W67" s="120" t="s">
        <v>491</v>
      </c>
      <c r="X67" s="92" t="str">
        <f t="shared" ref="X67" si="94">IF(OR(Y67="Preventivo",Y67="Detectivo"),"Probabilidad",IF(Y67="Correctivo","Impacto",""))</f>
        <v>Probabilidad</v>
      </c>
      <c r="Y67" s="93" t="s">
        <v>14</v>
      </c>
      <c r="Z67" s="93" t="s">
        <v>9</v>
      </c>
      <c r="AA67" s="94" t="str">
        <f t="shared" ref="AA67" si="95">IF(AND(Y67="Preventivo",Z67="Automático"),"50%",IF(AND(Y67="Preventivo",Z67="Manual"),"40%",IF(AND(Y67="Detectivo",Z67="Automático"),"40%",IF(AND(Y67="Detectivo",Z67="Manual"),"30%",IF(AND(Y67="Correctivo",Z67="Automático"),"35%",IF(AND(Y67="Correctivo",Z67="Manual"),"25%",""))))))</f>
        <v>40%</v>
      </c>
      <c r="AB67" s="93" t="s">
        <v>19</v>
      </c>
      <c r="AC67" s="93" t="s">
        <v>22</v>
      </c>
      <c r="AD67" s="93" t="s">
        <v>117</v>
      </c>
      <c r="AE67" s="181">
        <f t="shared" ref="AE67" si="96">IFERROR(IF(X67="Probabilidad",(P67-(+P67*AA67)),IF(X67="Impacto",P67,"")),"")</f>
        <v>0.48</v>
      </c>
      <c r="AF67" s="95" t="str">
        <f t="shared" ref="AF67" si="97">IFERROR(IF(AE67="","",IF(AE67&lt;=0.2,"Muy Baja",IF(AE67&lt;=0.4,"Baja",IF(AE67&lt;=0.6,"Media",IF(AE67&lt;=0.8,"Alta","Muy Alta"))))),"")</f>
        <v>Media</v>
      </c>
      <c r="AG67" s="133">
        <f t="shared" ref="AG67" si="98">+AE67</f>
        <v>0.48</v>
      </c>
      <c r="AH67" s="95" t="str">
        <f t="shared" ref="AH67" si="99">IFERROR(IF(AI67="","",IF(AI67&lt;=0.2,"Leve",IF(AI67&lt;=0.4,"Menor",IF(AI67&lt;=0.6,"Moderado",IF(AI67&lt;=0.8,"Mayor","Catastrófico"))))),"")</f>
        <v>Moderado</v>
      </c>
      <c r="AI67" s="133">
        <f t="shared" ref="AI67" si="100">IFERROR(IF(X67="Impacto",(T67-(+T67*AA67)),IF(X67="Probabilidad",T67,"")),"")</f>
        <v>0.6</v>
      </c>
      <c r="AJ67" s="97" t="str">
        <f t="shared" ref="AJ67" si="101">IFERROR(IF(OR(AND(AF67="Muy Baja",AH67="Leve"),AND(AF67="Muy Baja",AH67="Menor"),AND(AF67="Baja",AH67="Leve")),"Bajo",IF(OR(AND(AF67="Muy baja",AH67="Moderado"),AND(AF67="Baja",AH67="Menor"),AND(AF67="Baja",AH67="Moderado"),AND(AF67="Media",AH67="Leve"),AND(AF67="Media",AH67="Menor"),AND(AF67="Media",AH67="Moderado"),AND(AF67="Alta",AH67="Leve"),AND(AF67="Alta",AH67="Menor")),"Moderado",IF(OR(AND(AF67="Muy Baja",AH67="Mayor"),AND(AF67="Baja",AH67="Mayor"),AND(AF67="Media",AH67="Mayor"),AND(AF67="Alta",AH67="Moderado"),AND(AF67="Alta",AH67="Mayor"),AND(AF67="Muy Alta",AH67="Leve"),AND(AF67="Muy Alta",AH67="Menor"),AND(AF67="Muy Alta",AH67="Moderado"),AND(AF67="Muy Alta",AH67="Mayor")),"Alto",IF(OR(AND(AF67="Muy Baja",AH67="Catastrófico"),AND(AF67="Baja",AH67="Catastrófico"),AND(AF67="Media",AH67="Catastrófico"),AND(AF67="Alta",AH67="Catastrófico"),AND(AF67="Muy Alta",AH67="Catastrófico")),"Extremo","")))),"")</f>
        <v>Moderado</v>
      </c>
      <c r="AK67" s="132" t="s">
        <v>132</v>
      </c>
      <c r="AL67" s="99" t="s">
        <v>492</v>
      </c>
      <c r="AM67" s="99" t="s">
        <v>493</v>
      </c>
      <c r="AN67" s="112" t="s">
        <v>494</v>
      </c>
      <c r="AO67" s="101">
        <v>44466</v>
      </c>
      <c r="AP67" s="99" t="s">
        <v>509</v>
      </c>
      <c r="AQ67" s="100" t="s">
        <v>41</v>
      </c>
      <c r="AR67" s="99" t="s">
        <v>495</v>
      </c>
    </row>
    <row r="68" spans="1:44" x14ac:dyDescent="0.3">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182"/>
      <c r="AF68" s="99"/>
      <c r="AG68" s="99"/>
      <c r="AH68" s="99"/>
      <c r="AI68" s="99"/>
      <c r="AJ68" s="99"/>
      <c r="AK68" s="99"/>
      <c r="AL68" s="99"/>
      <c r="AM68" s="99"/>
      <c r="AN68" s="112"/>
      <c r="AO68" s="112"/>
      <c r="AP68" s="112"/>
      <c r="AQ68" s="112"/>
      <c r="AR68" s="99"/>
    </row>
    <row r="69" spans="1:44" x14ac:dyDescent="0.3">
      <c r="D69" s="135"/>
      <c r="E69" s="140"/>
      <c r="F69" s="134"/>
      <c r="G69" s="134"/>
      <c r="I69" s="141"/>
      <c r="J69" s="141"/>
      <c r="K69" s="141"/>
      <c r="L69" s="141"/>
      <c r="M69" s="140"/>
      <c r="N69" s="127"/>
      <c r="O69" s="121"/>
      <c r="P69" s="123"/>
      <c r="Q69" s="129"/>
      <c r="V69" s="151"/>
    </row>
  </sheetData>
  <dataConsolidate/>
  <mergeCells count="681">
    <mergeCell ref="AL30:AL32"/>
    <mergeCell ref="AM30:AM32"/>
    <mergeCell ref="AN30:AN32"/>
    <mergeCell ref="AO30:AO32"/>
    <mergeCell ref="AP30:AP32"/>
    <mergeCell ref="AQ30:AQ32"/>
    <mergeCell ref="AR30:AR32"/>
    <mergeCell ref="AK58:AK59"/>
    <mergeCell ref="AH64:AH66"/>
    <mergeCell ref="AQ40:AQ43"/>
    <mergeCell ref="AR40:AR43"/>
    <mergeCell ref="AN58:AN59"/>
    <mergeCell ref="AO58:AO59"/>
    <mergeCell ref="AP58:AP59"/>
    <mergeCell ref="AQ58:AQ59"/>
    <mergeCell ref="AR58:AR59"/>
    <mergeCell ref="AK62:AK63"/>
    <mergeCell ref="AI35:AI36"/>
    <mergeCell ref="AJ35:AJ36"/>
    <mergeCell ref="AK35:AK36"/>
    <mergeCell ref="AL40:AL43"/>
    <mergeCell ref="AM40:AM43"/>
    <mergeCell ref="AN40:AN43"/>
    <mergeCell ref="AO40:AO43"/>
    <mergeCell ref="AG64:AG66"/>
    <mergeCell ref="AI64:AI66"/>
    <mergeCell ref="AJ64:AJ66"/>
    <mergeCell ref="AK64:AK66"/>
    <mergeCell ref="AK17:AK18"/>
    <mergeCell ref="AK30:AK32"/>
    <mergeCell ref="X64:X66"/>
    <mergeCell ref="Y64:Y66"/>
    <mergeCell ref="Z64:Z66"/>
    <mergeCell ref="AA64:AA66"/>
    <mergeCell ref="AB64:AB66"/>
    <mergeCell ref="AC64:AC66"/>
    <mergeCell ref="AD64:AD66"/>
    <mergeCell ref="AE64:AE66"/>
    <mergeCell ref="AF64:AF66"/>
    <mergeCell ref="AK50:AK51"/>
    <mergeCell ref="AK52:AK53"/>
    <mergeCell ref="X55:X57"/>
    <mergeCell ref="Y55:Y57"/>
    <mergeCell ref="Z55:Z57"/>
    <mergeCell ref="AA55:AA57"/>
    <mergeCell ref="AB55:AB57"/>
    <mergeCell ref="AC55:AC57"/>
    <mergeCell ref="AD55:AD57"/>
    <mergeCell ref="AE55:AE57"/>
    <mergeCell ref="AG50:AG51"/>
    <mergeCell ref="AH50:AH51"/>
    <mergeCell ref="AI50:AI51"/>
    <mergeCell ref="AJ50:AJ51"/>
    <mergeCell ref="X52:X53"/>
    <mergeCell ref="Y52:Y53"/>
    <mergeCell ref="Z52:Z53"/>
    <mergeCell ref="AA52:AA53"/>
    <mergeCell ref="AB52:AB53"/>
    <mergeCell ref="AC52:AC53"/>
    <mergeCell ref="AD52:AD53"/>
    <mergeCell ref="AE52:AE53"/>
    <mergeCell ref="AF52:AF53"/>
    <mergeCell ref="AG52:AG53"/>
    <mergeCell ref="AH52:AH53"/>
    <mergeCell ref="AI52:AI53"/>
    <mergeCell ref="AJ52:AJ53"/>
    <mergeCell ref="X50:X51"/>
    <mergeCell ref="Y50:Y51"/>
    <mergeCell ref="Z50:Z51"/>
    <mergeCell ref="AA50:AA51"/>
    <mergeCell ref="AB50:AB51"/>
    <mergeCell ref="AC50:AC51"/>
    <mergeCell ref="Y33:Y34"/>
    <mergeCell ref="Z33:Z34"/>
    <mergeCell ref="AA33:AA34"/>
    <mergeCell ref="AB33:AB34"/>
    <mergeCell ref="X35:X36"/>
    <mergeCell ref="Y35:Y36"/>
    <mergeCell ref="Z35:Z36"/>
    <mergeCell ref="AA35:AA36"/>
    <mergeCell ref="AB35:AB36"/>
    <mergeCell ref="O50:O51"/>
    <mergeCell ref="P50:P51"/>
    <mergeCell ref="Q50:Q51"/>
    <mergeCell ref="R50:R51"/>
    <mergeCell ref="S50:S51"/>
    <mergeCell ref="T50:T51"/>
    <mergeCell ref="U50:U51"/>
    <mergeCell ref="W33:W34"/>
    <mergeCell ref="V37:V38"/>
    <mergeCell ref="W37:W38"/>
    <mergeCell ref="V35:V36"/>
    <mergeCell ref="W35:W36"/>
    <mergeCell ref="S40:S43"/>
    <mergeCell ref="T40:T43"/>
    <mergeCell ref="U40:U43"/>
    <mergeCell ref="N52:N53"/>
    <mergeCell ref="O52:O53"/>
    <mergeCell ref="P52:P53"/>
    <mergeCell ref="Q52:Q53"/>
    <mergeCell ref="R52:R53"/>
    <mergeCell ref="T64:T66"/>
    <mergeCell ref="U64:U66"/>
    <mergeCell ref="N58:N59"/>
    <mergeCell ref="O58:O59"/>
    <mergeCell ref="P58:P59"/>
    <mergeCell ref="Q58:Q59"/>
    <mergeCell ref="R58:R59"/>
    <mergeCell ref="S58:S59"/>
    <mergeCell ref="T58:T59"/>
    <mergeCell ref="U58:U59"/>
    <mergeCell ref="S52:S53"/>
    <mergeCell ref="T52:T53"/>
    <mergeCell ref="U52:U53"/>
    <mergeCell ref="A55:A57"/>
    <mergeCell ref="D55:D57"/>
    <mergeCell ref="E55:E57"/>
    <mergeCell ref="F55:F57"/>
    <mergeCell ref="G55:G57"/>
    <mergeCell ref="H55:H57"/>
    <mergeCell ref="M55:M57"/>
    <mergeCell ref="V55:V57"/>
    <mergeCell ref="W55:W57"/>
    <mergeCell ref="I55:I57"/>
    <mergeCell ref="J55:J57"/>
    <mergeCell ref="K55:K57"/>
    <mergeCell ref="L55:L57"/>
    <mergeCell ref="N55:N57"/>
    <mergeCell ref="O55:O57"/>
    <mergeCell ref="P55:P57"/>
    <mergeCell ref="Q55:Q57"/>
    <mergeCell ref="R55:R57"/>
    <mergeCell ref="S55:S57"/>
    <mergeCell ref="T55:T57"/>
    <mergeCell ref="U55:U57"/>
    <mergeCell ref="H58:H59"/>
    <mergeCell ref="I58:I59"/>
    <mergeCell ref="J58:J59"/>
    <mergeCell ref="K58:K59"/>
    <mergeCell ref="L58:L59"/>
    <mergeCell ref="M58:M59"/>
    <mergeCell ref="B55:B57"/>
    <mergeCell ref="C55:C57"/>
    <mergeCell ref="F58:F59"/>
    <mergeCell ref="C58:C59"/>
    <mergeCell ref="B58:B59"/>
    <mergeCell ref="D58:D59"/>
    <mergeCell ref="E58:E59"/>
    <mergeCell ref="A58:A59"/>
    <mergeCell ref="J50:J51"/>
    <mergeCell ref="K50:K51"/>
    <mergeCell ref="L50:L51"/>
    <mergeCell ref="M50:M51"/>
    <mergeCell ref="V50:V51"/>
    <mergeCell ref="W50:W51"/>
    <mergeCell ref="A52:A53"/>
    <mergeCell ref="B52:B53"/>
    <mergeCell ref="C52:C53"/>
    <mergeCell ref="D52:D53"/>
    <mergeCell ref="E52:E53"/>
    <mergeCell ref="F52:F53"/>
    <mergeCell ref="G52:G53"/>
    <mergeCell ref="H52:H53"/>
    <mergeCell ref="I52:I53"/>
    <mergeCell ref="J52:J53"/>
    <mergeCell ref="K52:K53"/>
    <mergeCell ref="L52:L53"/>
    <mergeCell ref="M52:M53"/>
    <mergeCell ref="V52:V53"/>
    <mergeCell ref="W52:W53"/>
    <mergeCell ref="A50:A51"/>
    <mergeCell ref="B50:B51"/>
    <mergeCell ref="C50:C51"/>
    <mergeCell ref="D50:D51"/>
    <mergeCell ref="E50:E51"/>
    <mergeCell ref="F50:F51"/>
    <mergeCell ref="G50:G51"/>
    <mergeCell ref="H50:H51"/>
    <mergeCell ref="I50:I51"/>
    <mergeCell ref="L28:L29"/>
    <mergeCell ref="V28:V29"/>
    <mergeCell ref="V33:V34"/>
    <mergeCell ref="M35:M36"/>
    <mergeCell ref="N35:N36"/>
    <mergeCell ref="O35:O36"/>
    <mergeCell ref="P35:P36"/>
    <mergeCell ref="J37:J38"/>
    <mergeCell ref="K37:K38"/>
    <mergeCell ref="L37:L38"/>
    <mergeCell ref="M37:M38"/>
    <mergeCell ref="N37:N38"/>
    <mergeCell ref="O37:O38"/>
    <mergeCell ref="P37:P38"/>
    <mergeCell ref="Q37:Q38"/>
    <mergeCell ref="U46:U49"/>
    <mergeCell ref="N50:N51"/>
    <mergeCell ref="W28:W29"/>
    <mergeCell ref="AM28:AM29"/>
    <mergeCell ref="B30:B32"/>
    <mergeCell ref="C30:C32"/>
    <mergeCell ref="I30:I32"/>
    <mergeCell ref="J30:J32"/>
    <mergeCell ref="K30:K32"/>
    <mergeCell ref="L30:L32"/>
    <mergeCell ref="V30:V31"/>
    <mergeCell ref="W30:W31"/>
    <mergeCell ref="D28:D29"/>
    <mergeCell ref="S30:S32"/>
    <mergeCell ref="I28:I29"/>
    <mergeCell ref="J28:J29"/>
    <mergeCell ref="K28:K29"/>
    <mergeCell ref="M28:M29"/>
    <mergeCell ref="N28:N29"/>
    <mergeCell ref="O28:O29"/>
    <mergeCell ref="P28:P29"/>
    <mergeCell ref="Q28:Q29"/>
    <mergeCell ref="R28:R29"/>
    <mergeCell ref="S28:S29"/>
    <mergeCell ref="T28:T29"/>
    <mergeCell ref="U28:U29"/>
    <mergeCell ref="V23:V25"/>
    <mergeCell ref="W23:W25"/>
    <mergeCell ref="B26:B27"/>
    <mergeCell ref="C26:C27"/>
    <mergeCell ref="I26:I27"/>
    <mergeCell ref="J26:J27"/>
    <mergeCell ref="K26:K27"/>
    <mergeCell ref="L26:L27"/>
    <mergeCell ref="V26:V27"/>
    <mergeCell ref="W26:W27"/>
    <mergeCell ref="D23:D25"/>
    <mergeCell ref="D26:D27"/>
    <mergeCell ref="Q26:Q27"/>
    <mergeCell ref="R26:R27"/>
    <mergeCell ref="S26:S27"/>
    <mergeCell ref="T26:T27"/>
    <mergeCell ref="U26:U27"/>
    <mergeCell ref="M26:M27"/>
    <mergeCell ref="N26:N27"/>
    <mergeCell ref="O26:O27"/>
    <mergeCell ref="P26:P27"/>
    <mergeCell ref="T23:T25"/>
    <mergeCell ref="U23:U25"/>
    <mergeCell ref="S23:S25"/>
    <mergeCell ref="W19:W22"/>
    <mergeCell ref="V19:V22"/>
    <mergeCell ref="B19:B22"/>
    <mergeCell ref="C19:C22"/>
    <mergeCell ref="I19:I22"/>
    <mergeCell ref="J19:J22"/>
    <mergeCell ref="K19:K22"/>
    <mergeCell ref="L19:L22"/>
    <mergeCell ref="D19:D22"/>
    <mergeCell ref="T19:T22"/>
    <mergeCell ref="U19:U22"/>
    <mergeCell ref="M19:M22"/>
    <mergeCell ref="N19:N22"/>
    <mergeCell ref="O19:O22"/>
    <mergeCell ref="P19:P22"/>
    <mergeCell ref="Q19:Q22"/>
    <mergeCell ref="AR17:AR18"/>
    <mergeCell ref="AR13:AR14"/>
    <mergeCell ref="A10:AR10"/>
    <mergeCell ref="AL12:AR12"/>
    <mergeCell ref="B13:B14"/>
    <mergeCell ref="C13:C14"/>
    <mergeCell ref="D13:D14"/>
    <mergeCell ref="AH13:AH14"/>
    <mergeCell ref="AF13:AF14"/>
    <mergeCell ref="AG13:AG14"/>
    <mergeCell ref="N13:N14"/>
    <mergeCell ref="O13:O14"/>
    <mergeCell ref="D17:D18"/>
    <mergeCell ref="I13:L13"/>
    <mergeCell ref="C17:C18"/>
    <mergeCell ref="B17:B18"/>
    <mergeCell ref="I17:I18"/>
    <mergeCell ref="J17:J18"/>
    <mergeCell ref="Q13:Q14"/>
    <mergeCell ref="R13:R14"/>
    <mergeCell ref="T17:T18"/>
    <mergeCell ref="U17:U18"/>
    <mergeCell ref="AL17:AL18"/>
    <mergeCell ref="AM17:AM18"/>
    <mergeCell ref="AN17:AN18"/>
    <mergeCell ref="AO17:AO18"/>
    <mergeCell ref="AP17:AP18"/>
    <mergeCell ref="X13:X14"/>
    <mergeCell ref="Y13:AD13"/>
    <mergeCell ref="AL13:AL14"/>
    <mergeCell ref="AQ13:AQ14"/>
    <mergeCell ref="AP13:AP14"/>
    <mergeCell ref="AO13:AO14"/>
    <mergeCell ref="AN13:AN14"/>
    <mergeCell ref="AM13:AM14"/>
    <mergeCell ref="AQ17:AQ18"/>
    <mergeCell ref="A13:A14"/>
    <mergeCell ref="M13:M14"/>
    <mergeCell ref="H13:H14"/>
    <mergeCell ref="G13:G14"/>
    <mergeCell ref="F13:F14"/>
    <mergeCell ref="AK13:AK14"/>
    <mergeCell ref="V13:V14"/>
    <mergeCell ref="AJ13:AJ14"/>
    <mergeCell ref="AI13:AI14"/>
    <mergeCell ref="AE13:AE14"/>
    <mergeCell ref="W13:W14"/>
    <mergeCell ref="P13:P14"/>
    <mergeCell ref="S13:S14"/>
    <mergeCell ref="T13:T14"/>
    <mergeCell ref="E13:E14"/>
    <mergeCell ref="U13:U14"/>
    <mergeCell ref="A17:A18"/>
    <mergeCell ref="E17:E18"/>
    <mergeCell ref="F17:F18"/>
    <mergeCell ref="G17:G18"/>
    <mergeCell ref="H17:H18"/>
    <mergeCell ref="M17:M18"/>
    <mergeCell ref="N17:N18"/>
    <mergeCell ref="O17:O18"/>
    <mergeCell ref="P17:P18"/>
    <mergeCell ref="K17:K18"/>
    <mergeCell ref="L17:L18"/>
    <mergeCell ref="N23:N25"/>
    <mergeCell ref="O23:O25"/>
    <mergeCell ref="Q17:Q18"/>
    <mergeCell ref="R17:R18"/>
    <mergeCell ref="S17:S18"/>
    <mergeCell ref="E23:E25"/>
    <mergeCell ref="F23:F25"/>
    <mergeCell ref="G23:G25"/>
    <mergeCell ref="H23:H25"/>
    <mergeCell ref="M23:M25"/>
    <mergeCell ref="G19:G22"/>
    <mergeCell ref="H19:H22"/>
    <mergeCell ref="Q23:Q25"/>
    <mergeCell ref="R23:R25"/>
    <mergeCell ref="P23:P25"/>
    <mergeCell ref="R19:R22"/>
    <mergeCell ref="S19:S22"/>
    <mergeCell ref="I23:I25"/>
    <mergeCell ref="J23:J25"/>
    <mergeCell ref="K23:K25"/>
    <mergeCell ref="L23:L25"/>
    <mergeCell ref="A19:A22"/>
    <mergeCell ref="E19:E22"/>
    <mergeCell ref="F19:F22"/>
    <mergeCell ref="A23:A25"/>
    <mergeCell ref="A28:A29"/>
    <mergeCell ref="E28:E29"/>
    <mergeCell ref="F28:F29"/>
    <mergeCell ref="G28:G29"/>
    <mergeCell ref="H28:H29"/>
    <mergeCell ref="A26:A27"/>
    <mergeCell ref="E26:E27"/>
    <mergeCell ref="F26:F27"/>
    <mergeCell ref="G26:G27"/>
    <mergeCell ref="H26:H27"/>
    <mergeCell ref="B23:B25"/>
    <mergeCell ref="C23:C25"/>
    <mergeCell ref="B28:B29"/>
    <mergeCell ref="C28:C29"/>
    <mergeCell ref="A30:A32"/>
    <mergeCell ref="E30:E32"/>
    <mergeCell ref="F30:F32"/>
    <mergeCell ref="G30:G32"/>
    <mergeCell ref="H30:H32"/>
    <mergeCell ref="M30:M32"/>
    <mergeCell ref="N30:N32"/>
    <mergeCell ref="O30:O32"/>
    <mergeCell ref="P30:P32"/>
    <mergeCell ref="D30:D32"/>
    <mergeCell ref="F8:U8"/>
    <mergeCell ref="V8:X8"/>
    <mergeCell ref="A12:N12"/>
    <mergeCell ref="O12:U12"/>
    <mergeCell ref="V12:AD12"/>
    <mergeCell ref="AE12:AK12"/>
    <mergeCell ref="T30:T32"/>
    <mergeCell ref="U30:U32"/>
    <mergeCell ref="A33:A34"/>
    <mergeCell ref="E33:E34"/>
    <mergeCell ref="F33:F34"/>
    <mergeCell ref="G33:G34"/>
    <mergeCell ref="H33:H34"/>
    <mergeCell ref="M33:M34"/>
    <mergeCell ref="N33:N34"/>
    <mergeCell ref="O33:O34"/>
    <mergeCell ref="P33:P34"/>
    <mergeCell ref="Q33:Q34"/>
    <mergeCell ref="R33:R34"/>
    <mergeCell ref="S33:S34"/>
    <mergeCell ref="T33:T34"/>
    <mergeCell ref="U33:U34"/>
    <mergeCell ref="Q30:Q32"/>
    <mergeCell ref="R30:R32"/>
    <mergeCell ref="I33:I34"/>
    <mergeCell ref="J33:J34"/>
    <mergeCell ref="K33:K34"/>
    <mergeCell ref="L33:L34"/>
    <mergeCell ref="C33:C34"/>
    <mergeCell ref="B33:B34"/>
    <mergeCell ref="D33:D34"/>
    <mergeCell ref="I35:I36"/>
    <mergeCell ref="J35:J36"/>
    <mergeCell ref="H35:H36"/>
    <mergeCell ref="G35:G36"/>
    <mergeCell ref="F35:F36"/>
    <mergeCell ref="K35:K36"/>
    <mergeCell ref="L35:L36"/>
    <mergeCell ref="A35:A36"/>
    <mergeCell ref="E35:E36"/>
    <mergeCell ref="D35:D36"/>
    <mergeCell ref="B35:B36"/>
    <mergeCell ref="C35:C36"/>
    <mergeCell ref="R37:R38"/>
    <mergeCell ref="S37:S38"/>
    <mergeCell ref="T37:T38"/>
    <mergeCell ref="U37:U38"/>
    <mergeCell ref="A37:A38"/>
    <mergeCell ref="B37:B38"/>
    <mergeCell ref="C37:C38"/>
    <mergeCell ref="D37:D38"/>
    <mergeCell ref="E37:E38"/>
    <mergeCell ref="F37:F38"/>
    <mergeCell ref="G37:G38"/>
    <mergeCell ref="H37:H38"/>
    <mergeCell ref="I37:I38"/>
    <mergeCell ref="Q35:Q36"/>
    <mergeCell ref="R35:R36"/>
    <mergeCell ref="S35:S36"/>
    <mergeCell ref="T35:T36"/>
    <mergeCell ref="U35:U36"/>
    <mergeCell ref="A44:A45"/>
    <mergeCell ref="A46:A49"/>
    <mergeCell ref="B46:B49"/>
    <mergeCell ref="C46:C49"/>
    <mergeCell ref="D46:D49"/>
    <mergeCell ref="E46:E49"/>
    <mergeCell ref="F46:F49"/>
    <mergeCell ref="G46:G49"/>
    <mergeCell ref="K44:K45"/>
    <mergeCell ref="J44:J45"/>
    <mergeCell ref="I44:I45"/>
    <mergeCell ref="H44:H45"/>
    <mergeCell ref="G44:G45"/>
    <mergeCell ref="F44:F45"/>
    <mergeCell ref="E44:E45"/>
    <mergeCell ref="D44:D45"/>
    <mergeCell ref="C44:C45"/>
    <mergeCell ref="H46:H49"/>
    <mergeCell ref="I46:I49"/>
    <mergeCell ref="J46:J49"/>
    <mergeCell ref="K46:K49"/>
    <mergeCell ref="L46:L49"/>
    <mergeCell ref="M46:M49"/>
    <mergeCell ref="W46:W49"/>
    <mergeCell ref="V46:V49"/>
    <mergeCell ref="B44:B45"/>
    <mergeCell ref="W44:W45"/>
    <mergeCell ref="M44:M45"/>
    <mergeCell ref="L44:L45"/>
    <mergeCell ref="N46:N49"/>
    <mergeCell ref="O46:O49"/>
    <mergeCell ref="P46:P49"/>
    <mergeCell ref="Q46:Q49"/>
    <mergeCell ref="R46:R49"/>
    <mergeCell ref="S46:S49"/>
    <mergeCell ref="T46:T49"/>
    <mergeCell ref="N44:N45"/>
    <mergeCell ref="O44:O45"/>
    <mergeCell ref="P44:P45"/>
    <mergeCell ref="Q44:Q45"/>
    <mergeCell ref="R44:R45"/>
    <mergeCell ref="S44:S45"/>
    <mergeCell ref="T44:T45"/>
    <mergeCell ref="U44:U45"/>
    <mergeCell ref="V44:V45"/>
    <mergeCell ref="A62:A63"/>
    <mergeCell ref="B62:B63"/>
    <mergeCell ref="C62:C63"/>
    <mergeCell ref="D62:D63"/>
    <mergeCell ref="E62:E63"/>
    <mergeCell ref="F62:F63"/>
    <mergeCell ref="G62:G63"/>
    <mergeCell ref="H62:H63"/>
    <mergeCell ref="I62:I63"/>
    <mergeCell ref="A64:A66"/>
    <mergeCell ref="B64:B66"/>
    <mergeCell ref="C64:C66"/>
    <mergeCell ref="D64:D66"/>
    <mergeCell ref="E64:E66"/>
    <mergeCell ref="F64:F66"/>
    <mergeCell ref="G64:G66"/>
    <mergeCell ref="H64:H66"/>
    <mergeCell ref="I64:I66"/>
    <mergeCell ref="J64:J66"/>
    <mergeCell ref="K64:K66"/>
    <mergeCell ref="L64:L66"/>
    <mergeCell ref="M64:M66"/>
    <mergeCell ref="V64:V66"/>
    <mergeCell ref="W64:W66"/>
    <mergeCell ref="S62:S63"/>
    <mergeCell ref="T62:T63"/>
    <mergeCell ref="U62:U63"/>
    <mergeCell ref="J62:J63"/>
    <mergeCell ref="K62:K63"/>
    <mergeCell ref="L62:L63"/>
    <mergeCell ref="M62:M63"/>
    <mergeCell ref="N62:N63"/>
    <mergeCell ref="O62:O63"/>
    <mergeCell ref="P62:P63"/>
    <mergeCell ref="Q62:Q63"/>
    <mergeCell ref="R62:R63"/>
    <mergeCell ref="N64:N66"/>
    <mergeCell ref="O64:O66"/>
    <mergeCell ref="P64:P66"/>
    <mergeCell ref="Q64:Q66"/>
    <mergeCell ref="R64:R66"/>
    <mergeCell ref="S64:S66"/>
    <mergeCell ref="A40:A43"/>
    <mergeCell ref="B40:B43"/>
    <mergeCell ref="C40:C43"/>
    <mergeCell ref="D40:D43"/>
    <mergeCell ref="E40:E43"/>
    <mergeCell ref="F40:F43"/>
    <mergeCell ref="G40:G43"/>
    <mergeCell ref="H40:H43"/>
    <mergeCell ref="I40:I43"/>
    <mergeCell ref="AP40:AP43"/>
    <mergeCell ref="J40:J43"/>
    <mergeCell ref="K40:K43"/>
    <mergeCell ref="L40:L43"/>
    <mergeCell ref="M40:M43"/>
    <mergeCell ref="N40:N43"/>
    <mergeCell ref="O40:O43"/>
    <mergeCell ref="P40:P43"/>
    <mergeCell ref="Q40:Q43"/>
    <mergeCell ref="R40:R43"/>
    <mergeCell ref="AK40:AK43"/>
    <mergeCell ref="X19:X22"/>
    <mergeCell ref="Y19:Y22"/>
    <mergeCell ref="Z19:Z22"/>
    <mergeCell ref="AA19:AA22"/>
    <mergeCell ref="AB19:AB22"/>
    <mergeCell ref="AC19:AC22"/>
    <mergeCell ref="AD19:AD22"/>
    <mergeCell ref="AE19:AE22"/>
    <mergeCell ref="AF19:AF22"/>
    <mergeCell ref="AG19:AG22"/>
    <mergeCell ref="AH19:AH22"/>
    <mergeCell ref="AI19:AI22"/>
    <mergeCell ref="AJ19:AJ22"/>
    <mergeCell ref="AK19:AK22"/>
    <mergeCell ref="AM19:AM22"/>
    <mergeCell ref="AM23:AM25"/>
    <mergeCell ref="AM26:AM27"/>
    <mergeCell ref="X26:X27"/>
    <mergeCell ref="Y26:Y27"/>
    <mergeCell ref="Z26:Z27"/>
    <mergeCell ref="AA26:AA27"/>
    <mergeCell ref="AB26:AB27"/>
    <mergeCell ref="AK26:AK27"/>
    <mergeCell ref="AG23:AG25"/>
    <mergeCell ref="AK23:AK25"/>
    <mergeCell ref="AH23:AH25"/>
    <mergeCell ref="AI23:AI25"/>
    <mergeCell ref="AJ23:AJ25"/>
    <mergeCell ref="X23:X25"/>
    <mergeCell ref="Y23:Y25"/>
    <mergeCell ref="Z23:Z25"/>
    <mergeCell ref="AA23:AA25"/>
    <mergeCell ref="AB23:AB25"/>
    <mergeCell ref="AC26:AC27"/>
    <mergeCell ref="AD26:AD27"/>
    <mergeCell ref="AE26:AE27"/>
    <mergeCell ref="AF26:AF27"/>
    <mergeCell ref="X37:X38"/>
    <mergeCell ref="Y37:Y38"/>
    <mergeCell ref="Z37:Z38"/>
    <mergeCell ref="AA37:AA38"/>
    <mergeCell ref="AB37:AB38"/>
    <mergeCell ref="AC37:AC38"/>
    <mergeCell ref="AD37:AD38"/>
    <mergeCell ref="AE37:AE38"/>
    <mergeCell ref="AF37:AF38"/>
    <mergeCell ref="X28:X29"/>
    <mergeCell ref="Y28:Y29"/>
    <mergeCell ref="Z28:Z29"/>
    <mergeCell ref="AA28:AA29"/>
    <mergeCell ref="AC35:AC36"/>
    <mergeCell ref="AD35:AD36"/>
    <mergeCell ref="AE35:AE36"/>
    <mergeCell ref="AF35:AF36"/>
    <mergeCell ref="AC33:AC34"/>
    <mergeCell ref="AD33:AD34"/>
    <mergeCell ref="X33:X34"/>
    <mergeCell ref="AG26:AG27"/>
    <mergeCell ref="AH26:AH27"/>
    <mergeCell ref="AI26:AI27"/>
    <mergeCell ref="AJ26:AJ27"/>
    <mergeCell ref="AG30:AG31"/>
    <mergeCell ref="AH30:AH31"/>
    <mergeCell ref="AI30:AI31"/>
    <mergeCell ref="AJ30:AJ31"/>
    <mergeCell ref="AG28:AG29"/>
    <mergeCell ref="AH28:AH29"/>
    <mergeCell ref="AI28:AI29"/>
    <mergeCell ref="AJ28:AJ29"/>
    <mergeCell ref="AB28:AB29"/>
    <mergeCell ref="AC28:AC29"/>
    <mergeCell ref="AD28:AD29"/>
    <mergeCell ref="AE28:AE29"/>
    <mergeCell ref="AF28:AF29"/>
    <mergeCell ref="X46:X49"/>
    <mergeCell ref="Y46:Y49"/>
    <mergeCell ref="Z46:Z49"/>
    <mergeCell ref="AA46:AA49"/>
    <mergeCell ref="AB46:AB49"/>
    <mergeCell ref="AC46:AC49"/>
    <mergeCell ref="AD46:AD49"/>
    <mergeCell ref="AE46:AE49"/>
    <mergeCell ref="AF46:AF49"/>
    <mergeCell ref="AA44:AA45"/>
    <mergeCell ref="AB44:AB45"/>
    <mergeCell ref="AC44:AC45"/>
    <mergeCell ref="AD44:AD45"/>
    <mergeCell ref="AE44:AE45"/>
    <mergeCell ref="AF44:AF45"/>
    <mergeCell ref="X30:X31"/>
    <mergeCell ref="X44:X45"/>
    <mergeCell ref="Y44:Y45"/>
    <mergeCell ref="Z44:Z45"/>
    <mergeCell ref="AF55:AF57"/>
    <mergeCell ref="AG55:AG57"/>
    <mergeCell ref="AH55:AH57"/>
    <mergeCell ref="AI55:AI57"/>
    <mergeCell ref="AJ55:AJ57"/>
    <mergeCell ref="AK55:AK57"/>
    <mergeCell ref="AC23:AC25"/>
    <mergeCell ref="AD23:AD25"/>
    <mergeCell ref="AE23:AE25"/>
    <mergeCell ref="AF23:AF25"/>
    <mergeCell ref="AE30:AE31"/>
    <mergeCell ref="AF30:AF31"/>
    <mergeCell ref="AG44:AG45"/>
    <mergeCell ref="AH44:AH45"/>
    <mergeCell ref="AI44:AI45"/>
    <mergeCell ref="AJ44:AJ45"/>
    <mergeCell ref="AK44:AK45"/>
    <mergeCell ref="AE33:AE34"/>
    <mergeCell ref="AF33:AF34"/>
    <mergeCell ref="AD50:AD51"/>
    <mergeCell ref="AE50:AE51"/>
    <mergeCell ref="AF50:AF51"/>
    <mergeCell ref="AG35:AG36"/>
    <mergeCell ref="AH35:AH36"/>
    <mergeCell ref="AK28:AK29"/>
    <mergeCell ref="Y30:Y31"/>
    <mergeCell ref="Z30:Z31"/>
    <mergeCell ref="AA30:AA31"/>
    <mergeCell ref="AB30:AB31"/>
    <mergeCell ref="AC30:AC31"/>
    <mergeCell ref="AD30:AD31"/>
    <mergeCell ref="AL58:AL59"/>
    <mergeCell ref="AM58:AM59"/>
    <mergeCell ref="AG37:AG38"/>
    <mergeCell ref="AH37:AH38"/>
    <mergeCell ref="AI37:AI38"/>
    <mergeCell ref="AJ37:AJ38"/>
    <mergeCell ref="AK37:AK38"/>
    <mergeCell ref="AG33:AG34"/>
    <mergeCell ref="AH33:AH34"/>
    <mergeCell ref="AI33:AI34"/>
    <mergeCell ref="AJ33:AJ34"/>
    <mergeCell ref="AK33:AK34"/>
    <mergeCell ref="AG46:AG49"/>
    <mergeCell ref="AH46:AH49"/>
    <mergeCell ref="AI46:AI49"/>
    <mergeCell ref="AJ46:AJ49"/>
    <mergeCell ref="AK46:AK49"/>
  </mergeCells>
  <phoneticPr fontId="57" type="noConversion"/>
  <conditionalFormatting sqref="O15 AF55">
    <cfRule type="cellIs" dxfId="624" priority="1335" operator="equal">
      <formula>"Muy Alta"</formula>
    </cfRule>
    <cfRule type="cellIs" dxfId="623" priority="1336" operator="equal">
      <formula>"Alta"</formula>
    </cfRule>
    <cfRule type="cellIs" dxfId="622" priority="1337" operator="equal">
      <formula>"Media"</formula>
    </cfRule>
    <cfRule type="cellIs" dxfId="621" priority="1338" operator="equal">
      <formula>"Baja"</formula>
    </cfRule>
    <cfRule type="cellIs" dxfId="620" priority="1339" operator="equal">
      <formula>"Muy Baja"</formula>
    </cfRule>
  </conditionalFormatting>
  <conditionalFormatting sqref="S15 S19 S23 S28 S33 AH55 AH16">
    <cfRule type="cellIs" dxfId="619" priority="1330" operator="equal">
      <formula>"Catastrófico"</formula>
    </cfRule>
    <cfRule type="cellIs" dxfId="618" priority="1331" operator="equal">
      <formula>"Mayor"</formula>
    </cfRule>
    <cfRule type="cellIs" dxfId="617" priority="1332" operator="equal">
      <formula>"Moderado"</formula>
    </cfRule>
    <cfRule type="cellIs" dxfId="616" priority="1333" operator="equal">
      <formula>"Menor"</formula>
    </cfRule>
    <cfRule type="cellIs" dxfId="615" priority="1334" operator="equal">
      <formula>"Leve"</formula>
    </cfRule>
  </conditionalFormatting>
  <conditionalFormatting sqref="U15 AJ55 AJ16">
    <cfRule type="cellIs" dxfId="614" priority="1326" operator="equal">
      <formula>"Extremo"</formula>
    </cfRule>
    <cfRule type="cellIs" dxfId="613" priority="1327" operator="equal">
      <formula>"Alto"</formula>
    </cfRule>
    <cfRule type="cellIs" dxfId="612" priority="1328" operator="equal">
      <formula>"Moderado"</formula>
    </cfRule>
    <cfRule type="cellIs" dxfId="611" priority="1329" operator="equal">
      <formula>"Bajo"</formula>
    </cfRule>
  </conditionalFormatting>
  <conditionalFormatting sqref="AF15">
    <cfRule type="cellIs" dxfId="610" priority="1321" operator="equal">
      <formula>"Muy Alta"</formula>
    </cfRule>
    <cfRule type="cellIs" dxfId="609" priority="1322" operator="equal">
      <formula>"Alta"</formula>
    </cfRule>
    <cfRule type="cellIs" dxfId="608" priority="1323" operator="equal">
      <formula>"Media"</formula>
    </cfRule>
    <cfRule type="cellIs" dxfId="607" priority="1324" operator="equal">
      <formula>"Baja"</formula>
    </cfRule>
    <cfRule type="cellIs" dxfId="606" priority="1325" operator="equal">
      <formula>"Muy Baja"</formula>
    </cfRule>
  </conditionalFormatting>
  <conditionalFormatting sqref="AH15">
    <cfRule type="cellIs" dxfId="605" priority="1316" operator="equal">
      <formula>"Catastrófico"</formula>
    </cfRule>
    <cfRule type="cellIs" dxfId="604" priority="1317" operator="equal">
      <formula>"Mayor"</formula>
    </cfRule>
    <cfRule type="cellIs" dxfId="603" priority="1318" operator="equal">
      <formula>"Moderado"</formula>
    </cfRule>
    <cfRule type="cellIs" dxfId="602" priority="1319" operator="equal">
      <formula>"Menor"</formula>
    </cfRule>
    <cfRule type="cellIs" dxfId="601" priority="1320" operator="equal">
      <formula>"Leve"</formula>
    </cfRule>
  </conditionalFormatting>
  <conditionalFormatting sqref="AJ15">
    <cfRule type="cellIs" dxfId="600" priority="1312" operator="equal">
      <formula>"Extremo"</formula>
    </cfRule>
    <cfRule type="cellIs" dxfId="599" priority="1313" operator="equal">
      <formula>"Alto"</formula>
    </cfRule>
    <cfRule type="cellIs" dxfId="598" priority="1314" operator="equal">
      <formula>"Moderado"</formula>
    </cfRule>
    <cfRule type="cellIs" dxfId="597" priority="1315" operator="equal">
      <formula>"Bajo"</formula>
    </cfRule>
  </conditionalFormatting>
  <conditionalFormatting sqref="AF17:AF18">
    <cfRule type="cellIs" dxfId="596" priority="1195" operator="equal">
      <formula>"Muy Alta"</formula>
    </cfRule>
    <cfRule type="cellIs" dxfId="595" priority="1196" operator="equal">
      <formula>"Alta"</formula>
    </cfRule>
    <cfRule type="cellIs" dxfId="594" priority="1197" operator="equal">
      <formula>"Media"</formula>
    </cfRule>
    <cfRule type="cellIs" dxfId="593" priority="1198" operator="equal">
      <formula>"Baja"</formula>
    </cfRule>
    <cfRule type="cellIs" dxfId="592" priority="1199" operator="equal">
      <formula>"Muy Baja"</formula>
    </cfRule>
  </conditionalFormatting>
  <conditionalFormatting sqref="AH17:AH18">
    <cfRule type="cellIs" dxfId="591" priority="1190" operator="equal">
      <formula>"Catastrófico"</formula>
    </cfRule>
    <cfRule type="cellIs" dxfId="590" priority="1191" operator="equal">
      <formula>"Mayor"</formula>
    </cfRule>
    <cfRule type="cellIs" dxfId="589" priority="1192" operator="equal">
      <formula>"Moderado"</formula>
    </cfRule>
    <cfRule type="cellIs" dxfId="588" priority="1193" operator="equal">
      <formula>"Menor"</formula>
    </cfRule>
    <cfRule type="cellIs" dxfId="587" priority="1194" operator="equal">
      <formula>"Leve"</formula>
    </cfRule>
  </conditionalFormatting>
  <conditionalFormatting sqref="AJ17:AJ18">
    <cfRule type="cellIs" dxfId="586" priority="1186" operator="equal">
      <formula>"Extremo"</formula>
    </cfRule>
    <cfRule type="cellIs" dxfId="585" priority="1187" operator="equal">
      <formula>"Alto"</formula>
    </cfRule>
    <cfRule type="cellIs" dxfId="584" priority="1188" operator="equal">
      <formula>"Moderado"</formula>
    </cfRule>
    <cfRule type="cellIs" dxfId="583" priority="1189" operator="equal">
      <formula>"Bajo"</formula>
    </cfRule>
  </conditionalFormatting>
  <conditionalFormatting sqref="O19">
    <cfRule type="cellIs" dxfId="582" priority="1181" operator="equal">
      <formula>"Muy Alta"</formula>
    </cfRule>
    <cfRule type="cellIs" dxfId="581" priority="1182" operator="equal">
      <formula>"Alta"</formula>
    </cfRule>
    <cfRule type="cellIs" dxfId="580" priority="1183" operator="equal">
      <formula>"Media"</formula>
    </cfRule>
    <cfRule type="cellIs" dxfId="579" priority="1184" operator="equal">
      <formula>"Baja"</formula>
    </cfRule>
    <cfRule type="cellIs" dxfId="578" priority="1185" operator="equal">
      <formula>"Muy Baja"</formula>
    </cfRule>
  </conditionalFormatting>
  <conditionalFormatting sqref="U19">
    <cfRule type="cellIs" dxfId="577" priority="1172" operator="equal">
      <formula>"Extremo"</formula>
    </cfRule>
    <cfRule type="cellIs" dxfId="576" priority="1173" operator="equal">
      <formula>"Alto"</formula>
    </cfRule>
    <cfRule type="cellIs" dxfId="575" priority="1174" operator="equal">
      <formula>"Moderado"</formula>
    </cfRule>
    <cfRule type="cellIs" dxfId="574" priority="1175" operator="equal">
      <formula>"Bajo"</formula>
    </cfRule>
  </conditionalFormatting>
  <conditionalFormatting sqref="AF19">
    <cfRule type="cellIs" dxfId="573" priority="1167" operator="equal">
      <formula>"Muy Alta"</formula>
    </cfRule>
    <cfRule type="cellIs" dxfId="572" priority="1168" operator="equal">
      <formula>"Alta"</formula>
    </cfRule>
    <cfRule type="cellIs" dxfId="571" priority="1169" operator="equal">
      <formula>"Media"</formula>
    </cfRule>
    <cfRule type="cellIs" dxfId="570" priority="1170" operator="equal">
      <formula>"Baja"</formula>
    </cfRule>
    <cfRule type="cellIs" dxfId="569" priority="1171" operator="equal">
      <formula>"Muy Baja"</formula>
    </cfRule>
  </conditionalFormatting>
  <conditionalFormatting sqref="AH19">
    <cfRule type="cellIs" dxfId="568" priority="1162" operator="equal">
      <formula>"Catastrófico"</formula>
    </cfRule>
    <cfRule type="cellIs" dxfId="567" priority="1163" operator="equal">
      <formula>"Mayor"</formula>
    </cfRule>
    <cfRule type="cellIs" dxfId="566" priority="1164" operator="equal">
      <formula>"Moderado"</formula>
    </cfRule>
    <cfRule type="cellIs" dxfId="565" priority="1165" operator="equal">
      <formula>"Menor"</formula>
    </cfRule>
    <cfRule type="cellIs" dxfId="564" priority="1166" operator="equal">
      <formula>"Leve"</formula>
    </cfRule>
  </conditionalFormatting>
  <conditionalFormatting sqref="AJ19">
    <cfRule type="cellIs" dxfId="563" priority="1158" operator="equal">
      <formula>"Extremo"</formula>
    </cfRule>
    <cfRule type="cellIs" dxfId="562" priority="1159" operator="equal">
      <formula>"Alto"</formula>
    </cfRule>
    <cfRule type="cellIs" dxfId="561" priority="1160" operator="equal">
      <formula>"Moderado"</formula>
    </cfRule>
    <cfRule type="cellIs" dxfId="560" priority="1161" operator="equal">
      <formula>"Bajo"</formula>
    </cfRule>
  </conditionalFormatting>
  <conditionalFormatting sqref="O23">
    <cfRule type="cellIs" dxfId="559" priority="1153" operator="equal">
      <formula>"Muy Alta"</formula>
    </cfRule>
    <cfRule type="cellIs" dxfId="558" priority="1154" operator="equal">
      <formula>"Alta"</formula>
    </cfRule>
    <cfRule type="cellIs" dxfId="557" priority="1155" operator="equal">
      <formula>"Media"</formula>
    </cfRule>
    <cfRule type="cellIs" dxfId="556" priority="1156" operator="equal">
      <formula>"Baja"</formula>
    </cfRule>
    <cfRule type="cellIs" dxfId="555" priority="1157" operator="equal">
      <formula>"Muy Baja"</formula>
    </cfRule>
  </conditionalFormatting>
  <conditionalFormatting sqref="U23">
    <cfRule type="cellIs" dxfId="554" priority="1144" operator="equal">
      <formula>"Extremo"</formula>
    </cfRule>
    <cfRule type="cellIs" dxfId="553" priority="1145" operator="equal">
      <formula>"Alto"</formula>
    </cfRule>
    <cfRule type="cellIs" dxfId="552" priority="1146" operator="equal">
      <formula>"Moderado"</formula>
    </cfRule>
    <cfRule type="cellIs" dxfId="551" priority="1147" operator="equal">
      <formula>"Bajo"</formula>
    </cfRule>
  </conditionalFormatting>
  <conditionalFormatting sqref="AF26">
    <cfRule type="cellIs" dxfId="550" priority="1111" operator="equal">
      <formula>"Muy Alta"</formula>
    </cfRule>
    <cfRule type="cellIs" dxfId="549" priority="1112" operator="equal">
      <formula>"Alta"</formula>
    </cfRule>
    <cfRule type="cellIs" dxfId="548" priority="1113" operator="equal">
      <formula>"Media"</formula>
    </cfRule>
    <cfRule type="cellIs" dxfId="547" priority="1114" operator="equal">
      <formula>"Baja"</formula>
    </cfRule>
    <cfRule type="cellIs" dxfId="546" priority="1115" operator="equal">
      <formula>"Muy Baja"</formula>
    </cfRule>
  </conditionalFormatting>
  <conditionalFormatting sqref="AH26">
    <cfRule type="cellIs" dxfId="545" priority="1106" operator="equal">
      <formula>"Catastrófico"</formula>
    </cfRule>
    <cfRule type="cellIs" dxfId="544" priority="1107" operator="equal">
      <formula>"Mayor"</formula>
    </cfRule>
    <cfRule type="cellIs" dxfId="543" priority="1108" operator="equal">
      <formula>"Moderado"</formula>
    </cfRule>
    <cfRule type="cellIs" dxfId="542" priority="1109" operator="equal">
      <formula>"Menor"</formula>
    </cfRule>
    <cfRule type="cellIs" dxfId="541" priority="1110" operator="equal">
      <formula>"Leve"</formula>
    </cfRule>
  </conditionalFormatting>
  <conditionalFormatting sqref="AJ26">
    <cfRule type="cellIs" dxfId="540" priority="1102" operator="equal">
      <formula>"Extremo"</formula>
    </cfRule>
    <cfRule type="cellIs" dxfId="539" priority="1103" operator="equal">
      <formula>"Alto"</formula>
    </cfRule>
    <cfRule type="cellIs" dxfId="538" priority="1104" operator="equal">
      <formula>"Moderado"</formula>
    </cfRule>
    <cfRule type="cellIs" dxfId="537" priority="1105" operator="equal">
      <formula>"Bajo"</formula>
    </cfRule>
  </conditionalFormatting>
  <conditionalFormatting sqref="O28">
    <cfRule type="cellIs" dxfId="536" priority="1097" operator="equal">
      <formula>"Muy Alta"</formula>
    </cfRule>
    <cfRule type="cellIs" dxfId="535" priority="1098" operator="equal">
      <formula>"Alta"</formula>
    </cfRule>
    <cfRule type="cellIs" dxfId="534" priority="1099" operator="equal">
      <formula>"Media"</formula>
    </cfRule>
    <cfRule type="cellIs" dxfId="533" priority="1100" operator="equal">
      <formula>"Baja"</formula>
    </cfRule>
    <cfRule type="cellIs" dxfId="532" priority="1101" operator="equal">
      <formula>"Muy Baja"</formula>
    </cfRule>
  </conditionalFormatting>
  <conditionalFormatting sqref="U28">
    <cfRule type="cellIs" dxfId="531" priority="1088" operator="equal">
      <formula>"Extremo"</formula>
    </cfRule>
    <cfRule type="cellIs" dxfId="530" priority="1089" operator="equal">
      <formula>"Alto"</formula>
    </cfRule>
    <cfRule type="cellIs" dxfId="529" priority="1090" operator="equal">
      <formula>"Moderado"</formula>
    </cfRule>
    <cfRule type="cellIs" dxfId="528" priority="1091" operator="equal">
      <formula>"Bajo"</formula>
    </cfRule>
  </conditionalFormatting>
  <conditionalFormatting sqref="AF28">
    <cfRule type="cellIs" dxfId="527" priority="1083" operator="equal">
      <formula>"Muy Alta"</formula>
    </cfRule>
    <cfRule type="cellIs" dxfId="526" priority="1084" operator="equal">
      <formula>"Alta"</formula>
    </cfRule>
    <cfRule type="cellIs" dxfId="525" priority="1085" operator="equal">
      <formula>"Media"</formula>
    </cfRule>
    <cfRule type="cellIs" dxfId="524" priority="1086" operator="equal">
      <formula>"Baja"</formula>
    </cfRule>
    <cfRule type="cellIs" dxfId="523" priority="1087" operator="equal">
      <formula>"Muy Baja"</formula>
    </cfRule>
  </conditionalFormatting>
  <conditionalFormatting sqref="AH28">
    <cfRule type="cellIs" dxfId="522" priority="1078" operator="equal">
      <formula>"Catastrófico"</formula>
    </cfRule>
    <cfRule type="cellIs" dxfId="521" priority="1079" operator="equal">
      <formula>"Mayor"</formula>
    </cfRule>
    <cfRule type="cellIs" dxfId="520" priority="1080" operator="equal">
      <formula>"Moderado"</formula>
    </cfRule>
    <cfRule type="cellIs" dxfId="519" priority="1081" operator="equal">
      <formula>"Menor"</formula>
    </cfRule>
    <cfRule type="cellIs" dxfId="518" priority="1082" operator="equal">
      <formula>"Leve"</formula>
    </cfRule>
  </conditionalFormatting>
  <conditionalFormatting sqref="AJ28">
    <cfRule type="cellIs" dxfId="517" priority="1074" operator="equal">
      <formula>"Extremo"</formula>
    </cfRule>
    <cfRule type="cellIs" dxfId="516" priority="1075" operator="equal">
      <formula>"Alto"</formula>
    </cfRule>
    <cfRule type="cellIs" dxfId="515" priority="1076" operator="equal">
      <formula>"Moderado"</formula>
    </cfRule>
    <cfRule type="cellIs" dxfId="514" priority="1077" operator="equal">
      <formula>"Bajo"</formula>
    </cfRule>
  </conditionalFormatting>
  <conditionalFormatting sqref="AF30 AF32">
    <cfRule type="cellIs" dxfId="513" priority="1055" operator="equal">
      <formula>"Muy Alta"</formula>
    </cfRule>
    <cfRule type="cellIs" dxfId="512" priority="1056" operator="equal">
      <formula>"Alta"</formula>
    </cfRule>
    <cfRule type="cellIs" dxfId="511" priority="1057" operator="equal">
      <formula>"Media"</formula>
    </cfRule>
    <cfRule type="cellIs" dxfId="510" priority="1058" operator="equal">
      <formula>"Baja"</formula>
    </cfRule>
    <cfRule type="cellIs" dxfId="509" priority="1059" operator="equal">
      <formula>"Muy Baja"</formula>
    </cfRule>
  </conditionalFormatting>
  <conditionalFormatting sqref="AH30 AH32">
    <cfRule type="cellIs" dxfId="508" priority="1050" operator="equal">
      <formula>"Catastrófico"</formula>
    </cfRule>
    <cfRule type="cellIs" dxfId="507" priority="1051" operator="equal">
      <formula>"Mayor"</formula>
    </cfRule>
    <cfRule type="cellIs" dxfId="506" priority="1052" operator="equal">
      <formula>"Moderado"</formula>
    </cfRule>
    <cfRule type="cellIs" dxfId="505" priority="1053" operator="equal">
      <formula>"Menor"</formula>
    </cfRule>
    <cfRule type="cellIs" dxfId="504" priority="1054" operator="equal">
      <formula>"Leve"</formula>
    </cfRule>
  </conditionalFormatting>
  <conditionalFormatting sqref="AJ30 AJ32">
    <cfRule type="cellIs" dxfId="503" priority="1046" operator="equal">
      <formula>"Extremo"</formula>
    </cfRule>
    <cfRule type="cellIs" dxfId="502" priority="1047" operator="equal">
      <formula>"Alto"</formula>
    </cfRule>
    <cfRule type="cellIs" dxfId="501" priority="1048" operator="equal">
      <formula>"Moderado"</formula>
    </cfRule>
    <cfRule type="cellIs" dxfId="500" priority="1049" operator="equal">
      <formula>"Bajo"</formula>
    </cfRule>
  </conditionalFormatting>
  <conditionalFormatting sqref="O33">
    <cfRule type="cellIs" dxfId="499" priority="1041" operator="equal">
      <formula>"Muy Alta"</formula>
    </cfRule>
    <cfRule type="cellIs" dxfId="498" priority="1042" operator="equal">
      <formula>"Alta"</formula>
    </cfRule>
    <cfRule type="cellIs" dxfId="497" priority="1043" operator="equal">
      <formula>"Media"</formula>
    </cfRule>
    <cfRule type="cellIs" dxfId="496" priority="1044" operator="equal">
      <formula>"Baja"</formula>
    </cfRule>
    <cfRule type="cellIs" dxfId="495" priority="1045" operator="equal">
      <formula>"Muy Baja"</formula>
    </cfRule>
  </conditionalFormatting>
  <conditionalFormatting sqref="U33">
    <cfRule type="cellIs" dxfId="494" priority="1032" operator="equal">
      <formula>"Extremo"</formula>
    </cfRule>
    <cfRule type="cellIs" dxfId="493" priority="1033" operator="equal">
      <formula>"Alto"</formula>
    </cfRule>
    <cfRule type="cellIs" dxfId="492" priority="1034" operator="equal">
      <formula>"Moderado"</formula>
    </cfRule>
    <cfRule type="cellIs" dxfId="491" priority="1035" operator="equal">
      <formula>"Bajo"</formula>
    </cfRule>
  </conditionalFormatting>
  <conditionalFormatting sqref="AF33">
    <cfRule type="cellIs" dxfId="490" priority="1027" operator="equal">
      <formula>"Muy Alta"</formula>
    </cfRule>
    <cfRule type="cellIs" dxfId="489" priority="1028" operator="equal">
      <formula>"Alta"</formula>
    </cfRule>
    <cfRule type="cellIs" dxfId="488" priority="1029" operator="equal">
      <formula>"Media"</formula>
    </cfRule>
    <cfRule type="cellIs" dxfId="487" priority="1030" operator="equal">
      <formula>"Baja"</formula>
    </cfRule>
    <cfRule type="cellIs" dxfId="486" priority="1031" operator="equal">
      <formula>"Muy Baja"</formula>
    </cfRule>
  </conditionalFormatting>
  <conditionalFormatting sqref="AH33">
    <cfRule type="cellIs" dxfId="485" priority="1022" operator="equal">
      <formula>"Catastrófico"</formula>
    </cfRule>
    <cfRule type="cellIs" dxfId="484" priority="1023" operator="equal">
      <formula>"Mayor"</formula>
    </cfRule>
    <cfRule type="cellIs" dxfId="483" priority="1024" operator="equal">
      <formula>"Moderado"</formula>
    </cfRule>
    <cfRule type="cellIs" dxfId="482" priority="1025" operator="equal">
      <formula>"Menor"</formula>
    </cfRule>
    <cfRule type="cellIs" dxfId="481" priority="1026" operator="equal">
      <formula>"Leve"</formula>
    </cfRule>
  </conditionalFormatting>
  <conditionalFormatting sqref="AJ33">
    <cfRule type="cellIs" dxfId="480" priority="1018" operator="equal">
      <formula>"Extremo"</formula>
    </cfRule>
    <cfRule type="cellIs" dxfId="479" priority="1019" operator="equal">
      <formula>"Alto"</formula>
    </cfRule>
    <cfRule type="cellIs" dxfId="478" priority="1020" operator="equal">
      <formula>"Moderado"</formula>
    </cfRule>
    <cfRule type="cellIs" dxfId="477" priority="1021" operator="equal">
      <formula>"Bajo"</formula>
    </cfRule>
  </conditionalFormatting>
  <conditionalFormatting sqref="R15 R28:R29 R33:R34 R19:R25">
    <cfRule type="containsText" dxfId="476" priority="1017" operator="containsText" text="❌">
      <formula>NOT(ISERROR(SEARCH("❌",R15)))</formula>
    </cfRule>
  </conditionalFormatting>
  <conditionalFormatting sqref="S35 S37">
    <cfRule type="cellIs" dxfId="475" priority="954" operator="equal">
      <formula>"Catastrófico"</formula>
    </cfRule>
    <cfRule type="cellIs" dxfId="474" priority="955" operator="equal">
      <formula>"Mayor"</formula>
    </cfRule>
    <cfRule type="cellIs" dxfId="473" priority="956" operator="equal">
      <formula>"Moderado"</formula>
    </cfRule>
    <cfRule type="cellIs" dxfId="472" priority="957" operator="equal">
      <formula>"Menor"</formula>
    </cfRule>
    <cfRule type="cellIs" dxfId="471" priority="958" operator="equal">
      <formula>"Leve"</formula>
    </cfRule>
  </conditionalFormatting>
  <conditionalFormatting sqref="O35 O37">
    <cfRule type="cellIs" dxfId="470" priority="949" operator="equal">
      <formula>"Muy Alta"</formula>
    </cfRule>
    <cfRule type="cellIs" dxfId="469" priority="950" operator="equal">
      <formula>"Alta"</formula>
    </cfRule>
    <cfRule type="cellIs" dxfId="468" priority="951" operator="equal">
      <formula>"Media"</formula>
    </cfRule>
    <cfRule type="cellIs" dxfId="467" priority="952" operator="equal">
      <formula>"Baja"</formula>
    </cfRule>
    <cfRule type="cellIs" dxfId="466" priority="953" operator="equal">
      <formula>"Muy Baja"</formula>
    </cfRule>
  </conditionalFormatting>
  <conditionalFormatting sqref="U35 U37">
    <cfRule type="cellIs" dxfId="465" priority="945" operator="equal">
      <formula>"Extremo"</formula>
    </cfRule>
    <cfRule type="cellIs" dxfId="464" priority="946" operator="equal">
      <formula>"Alto"</formula>
    </cfRule>
    <cfRule type="cellIs" dxfId="463" priority="947" operator="equal">
      <formula>"Moderado"</formula>
    </cfRule>
    <cfRule type="cellIs" dxfId="462" priority="948" operator="equal">
      <formula>"Bajo"</formula>
    </cfRule>
  </conditionalFormatting>
  <conditionalFormatting sqref="R35:R36">
    <cfRule type="containsText" dxfId="461" priority="944" operator="containsText" text="❌">
      <formula>NOT(ISERROR(SEARCH("❌",R35)))</formula>
    </cfRule>
  </conditionalFormatting>
  <conditionalFormatting sqref="R37:R38">
    <cfRule type="containsText" dxfId="460" priority="915" operator="containsText" text="❌">
      <formula>NOT(ISERROR(SEARCH("❌",R37)))</formula>
    </cfRule>
  </conditionalFormatting>
  <conditionalFormatting sqref="S39:S40">
    <cfRule type="cellIs" dxfId="459" priority="896" operator="equal">
      <formula>"Catastrófico"</formula>
    </cfRule>
    <cfRule type="cellIs" dxfId="458" priority="897" operator="equal">
      <formula>"Mayor"</formula>
    </cfRule>
    <cfRule type="cellIs" dxfId="457" priority="898" operator="equal">
      <formula>"Moderado"</formula>
    </cfRule>
    <cfRule type="cellIs" dxfId="456" priority="899" operator="equal">
      <formula>"Menor"</formula>
    </cfRule>
    <cfRule type="cellIs" dxfId="455" priority="900" operator="equal">
      <formula>"Leve"</formula>
    </cfRule>
  </conditionalFormatting>
  <conditionalFormatting sqref="O39:O40">
    <cfRule type="cellIs" dxfId="454" priority="891" operator="equal">
      <formula>"Muy Alta"</formula>
    </cfRule>
    <cfRule type="cellIs" dxfId="453" priority="892" operator="equal">
      <formula>"Alta"</formula>
    </cfRule>
    <cfRule type="cellIs" dxfId="452" priority="893" operator="equal">
      <formula>"Media"</formula>
    </cfRule>
    <cfRule type="cellIs" dxfId="451" priority="894" operator="equal">
      <formula>"Baja"</formula>
    </cfRule>
    <cfRule type="cellIs" dxfId="450" priority="895" operator="equal">
      <formula>"Muy Baja"</formula>
    </cfRule>
  </conditionalFormatting>
  <conditionalFormatting sqref="U39:U40">
    <cfRule type="cellIs" dxfId="449" priority="887" operator="equal">
      <formula>"Extremo"</formula>
    </cfRule>
    <cfRule type="cellIs" dxfId="448" priority="888" operator="equal">
      <formula>"Alto"</formula>
    </cfRule>
    <cfRule type="cellIs" dxfId="447" priority="889" operator="equal">
      <formula>"Moderado"</formula>
    </cfRule>
    <cfRule type="cellIs" dxfId="446" priority="890" operator="equal">
      <formula>"Bajo"</formula>
    </cfRule>
  </conditionalFormatting>
  <conditionalFormatting sqref="R39:R40">
    <cfRule type="containsText" dxfId="445" priority="886" operator="containsText" text="❌">
      <formula>NOT(ISERROR(SEARCH("❌",R39)))</formula>
    </cfRule>
  </conditionalFormatting>
  <conditionalFormatting sqref="AF54">
    <cfRule type="cellIs" dxfId="444" priority="806" operator="equal">
      <formula>"Muy Alta"</formula>
    </cfRule>
    <cfRule type="cellIs" dxfId="443" priority="807" operator="equal">
      <formula>"Alta"</formula>
    </cfRule>
    <cfRule type="cellIs" dxfId="442" priority="808" operator="equal">
      <formula>"Media"</formula>
    </cfRule>
    <cfRule type="cellIs" dxfId="441" priority="809" operator="equal">
      <formula>"Baja"</formula>
    </cfRule>
    <cfRule type="cellIs" dxfId="440" priority="810" operator="equal">
      <formula>"Muy Baja"</formula>
    </cfRule>
  </conditionalFormatting>
  <conditionalFormatting sqref="AH54">
    <cfRule type="cellIs" dxfId="439" priority="801" operator="equal">
      <formula>"Catastrófico"</formula>
    </cfRule>
    <cfRule type="cellIs" dxfId="438" priority="802" operator="equal">
      <formula>"Mayor"</formula>
    </cfRule>
    <cfRule type="cellIs" dxfId="437" priority="803" operator="equal">
      <formula>"Moderado"</formula>
    </cfRule>
    <cfRule type="cellIs" dxfId="436" priority="804" operator="equal">
      <formula>"Menor"</formula>
    </cfRule>
    <cfRule type="cellIs" dxfId="435" priority="805" operator="equal">
      <formula>"Leve"</formula>
    </cfRule>
  </conditionalFormatting>
  <conditionalFormatting sqref="AJ54">
    <cfRule type="cellIs" dxfId="434" priority="797" operator="equal">
      <formula>"Extremo"</formula>
    </cfRule>
    <cfRule type="cellIs" dxfId="433" priority="798" operator="equal">
      <formula>"Alto"</formula>
    </cfRule>
    <cfRule type="cellIs" dxfId="432" priority="799" operator="equal">
      <formula>"Moderado"</formula>
    </cfRule>
    <cfRule type="cellIs" dxfId="431" priority="800" operator="equal">
      <formula>"Bajo"</formula>
    </cfRule>
  </conditionalFormatting>
  <conditionalFormatting sqref="AF58">
    <cfRule type="cellIs" dxfId="430" priority="763" operator="equal">
      <formula>"Muy Alta"</formula>
    </cfRule>
    <cfRule type="cellIs" dxfId="429" priority="764" operator="equal">
      <formula>"Alta"</formula>
    </cfRule>
    <cfRule type="cellIs" dxfId="428" priority="765" operator="equal">
      <formula>"Media"</formula>
    </cfRule>
    <cfRule type="cellIs" dxfId="427" priority="766" operator="equal">
      <formula>"Baja"</formula>
    </cfRule>
    <cfRule type="cellIs" dxfId="426" priority="767" operator="equal">
      <formula>"Muy Baja"</formula>
    </cfRule>
  </conditionalFormatting>
  <conditionalFormatting sqref="AH58">
    <cfRule type="cellIs" dxfId="425" priority="758" operator="equal">
      <formula>"Catastrófico"</formula>
    </cfRule>
    <cfRule type="cellIs" dxfId="424" priority="759" operator="equal">
      <formula>"Mayor"</formula>
    </cfRule>
    <cfRule type="cellIs" dxfId="423" priority="760" operator="equal">
      <formula>"Moderado"</formula>
    </cfRule>
    <cfRule type="cellIs" dxfId="422" priority="761" operator="equal">
      <formula>"Menor"</formula>
    </cfRule>
    <cfRule type="cellIs" dxfId="421" priority="762" operator="equal">
      <formula>"Leve"</formula>
    </cfRule>
  </conditionalFormatting>
  <conditionalFormatting sqref="AJ58">
    <cfRule type="cellIs" dxfId="420" priority="754" operator="equal">
      <formula>"Extremo"</formula>
    </cfRule>
    <cfRule type="cellIs" dxfId="419" priority="755" operator="equal">
      <formula>"Alto"</formula>
    </cfRule>
    <cfRule type="cellIs" dxfId="418" priority="756" operator="equal">
      <formula>"Moderado"</formula>
    </cfRule>
    <cfRule type="cellIs" dxfId="417" priority="757" operator="equal">
      <formula>"Bajo"</formula>
    </cfRule>
  </conditionalFormatting>
  <conditionalFormatting sqref="AF59">
    <cfRule type="cellIs" dxfId="416" priority="749" operator="equal">
      <formula>"Muy Alta"</formula>
    </cfRule>
    <cfRule type="cellIs" dxfId="415" priority="750" operator="equal">
      <formula>"Alta"</formula>
    </cfRule>
    <cfRule type="cellIs" dxfId="414" priority="751" operator="equal">
      <formula>"Media"</formula>
    </cfRule>
    <cfRule type="cellIs" dxfId="413" priority="752" operator="equal">
      <formula>"Baja"</formula>
    </cfRule>
    <cfRule type="cellIs" dxfId="412" priority="753" operator="equal">
      <formula>"Muy Baja"</formula>
    </cfRule>
  </conditionalFormatting>
  <conditionalFormatting sqref="AH59">
    <cfRule type="cellIs" dxfId="411" priority="744" operator="equal">
      <formula>"Catastrófico"</formula>
    </cfRule>
    <cfRule type="cellIs" dxfId="410" priority="745" operator="equal">
      <formula>"Mayor"</formula>
    </cfRule>
    <cfRule type="cellIs" dxfId="409" priority="746" operator="equal">
      <formula>"Moderado"</formula>
    </cfRule>
    <cfRule type="cellIs" dxfId="408" priority="747" operator="equal">
      <formula>"Menor"</formula>
    </cfRule>
    <cfRule type="cellIs" dxfId="407" priority="748" operator="equal">
      <formula>"Leve"</formula>
    </cfRule>
  </conditionalFormatting>
  <conditionalFormatting sqref="AJ59">
    <cfRule type="cellIs" dxfId="406" priority="740" operator="equal">
      <formula>"Extremo"</formula>
    </cfRule>
    <cfRule type="cellIs" dxfId="405" priority="741" operator="equal">
      <formula>"Alto"</formula>
    </cfRule>
    <cfRule type="cellIs" dxfId="404" priority="742" operator="equal">
      <formula>"Moderado"</formula>
    </cfRule>
    <cfRule type="cellIs" dxfId="403" priority="743" operator="equal">
      <formula>"Bajo"</formula>
    </cfRule>
  </conditionalFormatting>
  <conditionalFormatting sqref="AF60:AF64">
    <cfRule type="cellIs" dxfId="402" priority="734" operator="equal">
      <formula>"Muy Alta"</formula>
    </cfRule>
    <cfRule type="cellIs" dxfId="401" priority="735" operator="equal">
      <formula>"Alta"</formula>
    </cfRule>
    <cfRule type="cellIs" dxfId="400" priority="736" operator="equal">
      <formula>"Media"</formula>
    </cfRule>
    <cfRule type="cellIs" dxfId="399" priority="737" operator="equal">
      <formula>"Baja"</formula>
    </cfRule>
    <cfRule type="cellIs" dxfId="398" priority="738" operator="equal">
      <formula>"Muy Baja"</formula>
    </cfRule>
  </conditionalFormatting>
  <conditionalFormatting sqref="AH60:AH64">
    <cfRule type="cellIs" dxfId="397" priority="729" operator="equal">
      <formula>"Catastrófico"</formula>
    </cfRule>
    <cfRule type="cellIs" dxfId="396" priority="730" operator="equal">
      <formula>"Mayor"</formula>
    </cfRule>
    <cfRule type="cellIs" dxfId="395" priority="731" operator="equal">
      <formula>"Moderado"</formula>
    </cfRule>
    <cfRule type="cellIs" dxfId="394" priority="732" operator="equal">
      <formula>"Menor"</formula>
    </cfRule>
    <cfRule type="cellIs" dxfId="393" priority="733" operator="equal">
      <formula>"Leve"</formula>
    </cfRule>
  </conditionalFormatting>
  <conditionalFormatting sqref="AJ60:AJ64">
    <cfRule type="cellIs" dxfId="392" priority="725" operator="equal">
      <formula>"Extremo"</formula>
    </cfRule>
    <cfRule type="cellIs" dxfId="391" priority="726" operator="equal">
      <formula>"Alto"</formula>
    </cfRule>
    <cfRule type="cellIs" dxfId="390" priority="727" operator="equal">
      <formula>"Moderado"</formula>
    </cfRule>
    <cfRule type="cellIs" dxfId="389" priority="728" operator="equal">
      <formula>"Bajo"</formula>
    </cfRule>
  </conditionalFormatting>
  <conditionalFormatting sqref="AF67">
    <cfRule type="cellIs" dxfId="388" priority="719" operator="equal">
      <formula>"Muy Alta"</formula>
    </cfRule>
    <cfRule type="cellIs" dxfId="387" priority="720" operator="equal">
      <formula>"Alta"</formula>
    </cfRule>
    <cfRule type="cellIs" dxfId="386" priority="721" operator="equal">
      <formula>"Media"</formula>
    </cfRule>
    <cfRule type="cellIs" dxfId="385" priority="722" operator="equal">
      <formula>"Baja"</formula>
    </cfRule>
    <cfRule type="cellIs" dxfId="384" priority="723" operator="equal">
      <formula>"Muy Baja"</formula>
    </cfRule>
  </conditionalFormatting>
  <conditionalFormatting sqref="AH67">
    <cfRule type="cellIs" dxfId="383" priority="714" operator="equal">
      <formula>"Catastrófico"</formula>
    </cfRule>
    <cfRule type="cellIs" dxfId="382" priority="715" operator="equal">
      <formula>"Mayor"</formula>
    </cfRule>
    <cfRule type="cellIs" dxfId="381" priority="716" operator="equal">
      <formula>"Moderado"</formula>
    </cfRule>
    <cfRule type="cellIs" dxfId="380" priority="717" operator="equal">
      <formula>"Menor"</formula>
    </cfRule>
    <cfRule type="cellIs" dxfId="379" priority="718" operator="equal">
      <formula>"Leve"</formula>
    </cfRule>
  </conditionalFormatting>
  <conditionalFormatting sqref="AJ67">
    <cfRule type="cellIs" dxfId="378" priority="710" operator="equal">
      <formula>"Extremo"</formula>
    </cfRule>
    <cfRule type="cellIs" dxfId="377" priority="711" operator="equal">
      <formula>"Alto"</formula>
    </cfRule>
    <cfRule type="cellIs" dxfId="376" priority="712" operator="equal">
      <formula>"Moderado"</formula>
    </cfRule>
    <cfRule type="cellIs" dxfId="375" priority="713" operator="equal">
      <formula>"Bajo"</formula>
    </cfRule>
  </conditionalFormatting>
  <conditionalFormatting sqref="S55">
    <cfRule type="cellIs" dxfId="374" priority="615" operator="equal">
      <formula>"Catastrófico"</formula>
    </cfRule>
    <cfRule type="cellIs" dxfId="373" priority="616" operator="equal">
      <formula>"Mayor"</formula>
    </cfRule>
    <cfRule type="cellIs" dxfId="372" priority="617" operator="equal">
      <formula>"Moderado"</formula>
    </cfRule>
    <cfRule type="cellIs" dxfId="371" priority="618" operator="equal">
      <formula>"Menor"</formula>
    </cfRule>
    <cfRule type="cellIs" dxfId="370" priority="619" operator="equal">
      <formula>"Leve"</formula>
    </cfRule>
  </conditionalFormatting>
  <conditionalFormatting sqref="O55">
    <cfRule type="cellIs" dxfId="369" priority="610" operator="equal">
      <formula>"Muy Alta"</formula>
    </cfRule>
    <cfRule type="cellIs" dxfId="368" priority="611" operator="equal">
      <formula>"Alta"</formula>
    </cfRule>
    <cfRule type="cellIs" dxfId="367" priority="612" operator="equal">
      <formula>"Media"</formula>
    </cfRule>
    <cfRule type="cellIs" dxfId="366" priority="613" operator="equal">
      <formula>"Baja"</formula>
    </cfRule>
    <cfRule type="cellIs" dxfId="365" priority="614" operator="equal">
      <formula>"Muy Baja"</formula>
    </cfRule>
  </conditionalFormatting>
  <conditionalFormatting sqref="U55">
    <cfRule type="cellIs" dxfId="364" priority="606" operator="equal">
      <formula>"Extremo"</formula>
    </cfRule>
    <cfRule type="cellIs" dxfId="363" priority="607" operator="equal">
      <formula>"Alto"</formula>
    </cfRule>
    <cfRule type="cellIs" dxfId="362" priority="608" operator="equal">
      <formula>"Moderado"</formula>
    </cfRule>
    <cfRule type="cellIs" dxfId="361" priority="609" operator="equal">
      <formula>"Bajo"</formula>
    </cfRule>
  </conditionalFormatting>
  <conditionalFormatting sqref="R55:R57">
    <cfRule type="containsText" dxfId="360" priority="605" operator="containsText" text="❌">
      <formula>NOT(ISERROR(SEARCH("❌",R55)))</formula>
    </cfRule>
  </conditionalFormatting>
  <conditionalFormatting sqref="S44">
    <cfRule type="cellIs" dxfId="359" priority="510" operator="equal">
      <formula>"Catastrófico"</formula>
    </cfRule>
    <cfRule type="cellIs" dxfId="358" priority="511" operator="equal">
      <formula>"Mayor"</formula>
    </cfRule>
    <cfRule type="cellIs" dxfId="357" priority="512" operator="equal">
      <formula>"Moderado"</formula>
    </cfRule>
    <cfRule type="cellIs" dxfId="356" priority="513" operator="equal">
      <formula>"Menor"</formula>
    </cfRule>
    <cfRule type="cellIs" dxfId="355" priority="514" operator="equal">
      <formula>"Leve"</formula>
    </cfRule>
  </conditionalFormatting>
  <conditionalFormatting sqref="O44">
    <cfRule type="cellIs" dxfId="354" priority="505" operator="equal">
      <formula>"Muy Alta"</formula>
    </cfRule>
    <cfRule type="cellIs" dxfId="353" priority="506" operator="equal">
      <formula>"Alta"</formula>
    </cfRule>
    <cfRule type="cellIs" dxfId="352" priority="507" operator="equal">
      <formula>"Media"</formula>
    </cfRule>
    <cfRule type="cellIs" dxfId="351" priority="508" operator="equal">
      <formula>"Baja"</formula>
    </cfRule>
    <cfRule type="cellIs" dxfId="350" priority="509" operator="equal">
      <formula>"Muy Baja"</formula>
    </cfRule>
  </conditionalFormatting>
  <conditionalFormatting sqref="U44">
    <cfRule type="cellIs" dxfId="349" priority="501" operator="equal">
      <formula>"Extremo"</formula>
    </cfRule>
    <cfRule type="cellIs" dxfId="348" priority="502" operator="equal">
      <formula>"Alto"</formula>
    </cfRule>
    <cfRule type="cellIs" dxfId="347" priority="503" operator="equal">
      <formula>"Moderado"</formula>
    </cfRule>
    <cfRule type="cellIs" dxfId="346" priority="504" operator="equal">
      <formula>"Bajo"</formula>
    </cfRule>
  </conditionalFormatting>
  <conditionalFormatting sqref="R44">
    <cfRule type="containsText" dxfId="345" priority="500" operator="containsText" text="❌">
      <formula>NOT(ISERROR(SEARCH("❌",R44)))</formula>
    </cfRule>
  </conditionalFormatting>
  <conditionalFormatting sqref="AJ40:AJ43">
    <cfRule type="cellIs" dxfId="344" priority="458" operator="equal">
      <formula>"Extremo"</formula>
    </cfRule>
    <cfRule type="cellIs" dxfId="343" priority="459" operator="equal">
      <formula>"Alto"</formula>
    </cfRule>
    <cfRule type="cellIs" dxfId="342" priority="460" operator="equal">
      <formula>"Moderado"</formula>
    </cfRule>
    <cfRule type="cellIs" dxfId="341" priority="461" operator="equal">
      <formula>"Bajo"</formula>
    </cfRule>
  </conditionalFormatting>
  <conditionalFormatting sqref="AF40:AF43">
    <cfRule type="cellIs" dxfId="340" priority="467" operator="equal">
      <formula>"Muy Alta"</formula>
    </cfRule>
    <cfRule type="cellIs" dxfId="339" priority="468" operator="equal">
      <formula>"Alta"</formula>
    </cfRule>
    <cfRule type="cellIs" dxfId="338" priority="469" operator="equal">
      <formula>"Media"</formula>
    </cfRule>
    <cfRule type="cellIs" dxfId="337" priority="470" operator="equal">
      <formula>"Baja"</formula>
    </cfRule>
    <cfRule type="cellIs" dxfId="336" priority="471" operator="equal">
      <formula>"Muy Baja"</formula>
    </cfRule>
  </conditionalFormatting>
  <conditionalFormatting sqref="AH40:AH43">
    <cfRule type="cellIs" dxfId="335" priority="462" operator="equal">
      <formula>"Catastrófico"</formula>
    </cfRule>
    <cfRule type="cellIs" dxfId="334" priority="463" operator="equal">
      <formula>"Mayor"</formula>
    </cfRule>
    <cfRule type="cellIs" dxfId="333" priority="464" operator="equal">
      <formula>"Moderado"</formula>
    </cfRule>
    <cfRule type="cellIs" dxfId="332" priority="465" operator="equal">
      <formula>"Menor"</formula>
    </cfRule>
    <cfRule type="cellIs" dxfId="331" priority="466" operator="equal">
      <formula>"Leve"</formula>
    </cfRule>
  </conditionalFormatting>
  <conditionalFormatting sqref="AJ44">
    <cfRule type="cellIs" dxfId="330" priority="430" operator="equal">
      <formula>"Extremo"</formula>
    </cfRule>
    <cfRule type="cellIs" dxfId="329" priority="431" operator="equal">
      <formula>"Alto"</formula>
    </cfRule>
    <cfRule type="cellIs" dxfId="328" priority="432" operator="equal">
      <formula>"Moderado"</formula>
    </cfRule>
    <cfRule type="cellIs" dxfId="327" priority="433" operator="equal">
      <formula>"Bajo"</formula>
    </cfRule>
  </conditionalFormatting>
  <conditionalFormatting sqref="AF44">
    <cfRule type="cellIs" dxfId="326" priority="439" operator="equal">
      <formula>"Muy Alta"</formula>
    </cfRule>
    <cfRule type="cellIs" dxfId="325" priority="440" operator="equal">
      <formula>"Alta"</formula>
    </cfRule>
    <cfRule type="cellIs" dxfId="324" priority="441" operator="equal">
      <formula>"Media"</formula>
    </cfRule>
    <cfRule type="cellIs" dxfId="323" priority="442" operator="equal">
      <formula>"Baja"</formula>
    </cfRule>
    <cfRule type="cellIs" dxfId="322" priority="443" operator="equal">
      <formula>"Muy Baja"</formula>
    </cfRule>
  </conditionalFormatting>
  <conditionalFormatting sqref="AH44">
    <cfRule type="cellIs" dxfId="321" priority="434" operator="equal">
      <formula>"Catastrófico"</formula>
    </cfRule>
    <cfRule type="cellIs" dxfId="320" priority="435" operator="equal">
      <formula>"Mayor"</formula>
    </cfRule>
    <cfRule type="cellIs" dxfId="319" priority="436" operator="equal">
      <formula>"Moderado"</formula>
    </cfRule>
    <cfRule type="cellIs" dxfId="318" priority="437" operator="equal">
      <formula>"Menor"</formula>
    </cfRule>
    <cfRule type="cellIs" dxfId="317" priority="438" operator="equal">
      <formula>"Leve"</formula>
    </cfRule>
  </conditionalFormatting>
  <conditionalFormatting sqref="O67">
    <cfRule type="cellIs" dxfId="316" priority="425" operator="equal">
      <formula>"Muy Alta"</formula>
    </cfRule>
    <cfRule type="cellIs" dxfId="315" priority="426" operator="equal">
      <formula>"Alta"</formula>
    </cfRule>
    <cfRule type="cellIs" dxfId="314" priority="427" operator="equal">
      <formula>"Media"</formula>
    </cfRule>
    <cfRule type="cellIs" dxfId="313" priority="428" operator="equal">
      <formula>"Baja"</formula>
    </cfRule>
    <cfRule type="cellIs" dxfId="312" priority="429" operator="equal">
      <formula>"Muy Baja"</formula>
    </cfRule>
  </conditionalFormatting>
  <conditionalFormatting sqref="S67">
    <cfRule type="cellIs" dxfId="311" priority="420" operator="equal">
      <formula>"Catastrófico"</formula>
    </cfRule>
    <cfRule type="cellIs" dxfId="310" priority="421" operator="equal">
      <formula>"Mayor"</formula>
    </cfRule>
    <cfRule type="cellIs" dxfId="309" priority="422" operator="equal">
      <formula>"Moderado"</formula>
    </cfRule>
    <cfRule type="cellIs" dxfId="308" priority="423" operator="equal">
      <formula>"Menor"</formula>
    </cfRule>
    <cfRule type="cellIs" dxfId="307" priority="424" operator="equal">
      <formula>"Leve"</formula>
    </cfRule>
  </conditionalFormatting>
  <conditionalFormatting sqref="U67">
    <cfRule type="cellIs" dxfId="306" priority="416" operator="equal">
      <formula>"Extremo"</formula>
    </cfRule>
    <cfRule type="cellIs" dxfId="305" priority="417" operator="equal">
      <formula>"Alto"</formula>
    </cfRule>
    <cfRule type="cellIs" dxfId="304" priority="418" operator="equal">
      <formula>"Moderado"</formula>
    </cfRule>
    <cfRule type="cellIs" dxfId="303" priority="419" operator="equal">
      <formula>"Bajo"</formula>
    </cfRule>
  </conditionalFormatting>
  <conditionalFormatting sqref="R67">
    <cfRule type="containsText" dxfId="302" priority="415" operator="containsText" text="❌">
      <formula>NOT(ISERROR(SEARCH("❌",R67)))</formula>
    </cfRule>
  </conditionalFormatting>
  <conditionalFormatting sqref="S26">
    <cfRule type="cellIs" dxfId="301" priority="395" operator="equal">
      <formula>"Catastrófico"</formula>
    </cfRule>
    <cfRule type="cellIs" dxfId="300" priority="396" operator="equal">
      <formula>"Mayor"</formula>
    </cfRule>
    <cfRule type="cellIs" dxfId="299" priority="397" operator="equal">
      <formula>"Moderado"</formula>
    </cfRule>
    <cfRule type="cellIs" dxfId="298" priority="398" operator="equal">
      <formula>"Menor"</formula>
    </cfRule>
    <cfRule type="cellIs" dxfId="297" priority="399" operator="equal">
      <formula>"Leve"</formula>
    </cfRule>
  </conditionalFormatting>
  <conditionalFormatting sqref="O26">
    <cfRule type="cellIs" dxfId="296" priority="390" operator="equal">
      <formula>"Muy Alta"</formula>
    </cfRule>
    <cfRule type="cellIs" dxfId="295" priority="391" operator="equal">
      <formula>"Alta"</formula>
    </cfRule>
    <cfRule type="cellIs" dxfId="294" priority="392" operator="equal">
      <formula>"Media"</formula>
    </cfRule>
    <cfRule type="cellIs" dxfId="293" priority="393" operator="equal">
      <formula>"Baja"</formula>
    </cfRule>
    <cfRule type="cellIs" dxfId="292" priority="394" operator="equal">
      <formula>"Muy Baja"</formula>
    </cfRule>
  </conditionalFormatting>
  <conditionalFormatting sqref="U26">
    <cfRule type="cellIs" dxfId="291" priority="386" operator="equal">
      <formula>"Extremo"</formula>
    </cfRule>
    <cfRule type="cellIs" dxfId="290" priority="387" operator="equal">
      <formula>"Alto"</formula>
    </cfRule>
    <cfRule type="cellIs" dxfId="289" priority="388" operator="equal">
      <formula>"Moderado"</formula>
    </cfRule>
    <cfRule type="cellIs" dxfId="288" priority="389" operator="equal">
      <formula>"Bajo"</formula>
    </cfRule>
  </conditionalFormatting>
  <conditionalFormatting sqref="R26">
    <cfRule type="containsText" dxfId="287" priority="385" operator="containsText" text="❌">
      <formula>NOT(ISERROR(SEARCH("❌",R26)))</formula>
    </cfRule>
  </conditionalFormatting>
  <conditionalFormatting sqref="S30">
    <cfRule type="cellIs" dxfId="286" priority="380" operator="equal">
      <formula>"Catastrófico"</formula>
    </cfRule>
    <cfRule type="cellIs" dxfId="285" priority="381" operator="equal">
      <formula>"Mayor"</formula>
    </cfRule>
    <cfRule type="cellIs" dxfId="284" priority="382" operator="equal">
      <formula>"Moderado"</formula>
    </cfRule>
    <cfRule type="cellIs" dxfId="283" priority="383" operator="equal">
      <formula>"Menor"</formula>
    </cfRule>
    <cfRule type="cellIs" dxfId="282" priority="384" operator="equal">
      <formula>"Leve"</formula>
    </cfRule>
  </conditionalFormatting>
  <conditionalFormatting sqref="O30">
    <cfRule type="cellIs" dxfId="281" priority="375" operator="equal">
      <formula>"Muy Alta"</formula>
    </cfRule>
    <cfRule type="cellIs" dxfId="280" priority="376" operator="equal">
      <formula>"Alta"</formula>
    </cfRule>
    <cfRule type="cellIs" dxfId="279" priority="377" operator="equal">
      <formula>"Media"</formula>
    </cfRule>
    <cfRule type="cellIs" dxfId="278" priority="378" operator="equal">
      <formula>"Baja"</formula>
    </cfRule>
    <cfRule type="cellIs" dxfId="277" priority="379" operator="equal">
      <formula>"Muy Baja"</formula>
    </cfRule>
  </conditionalFormatting>
  <conditionalFormatting sqref="U30">
    <cfRule type="cellIs" dxfId="276" priority="371" operator="equal">
      <formula>"Extremo"</formula>
    </cfRule>
    <cfRule type="cellIs" dxfId="275" priority="372" operator="equal">
      <formula>"Alto"</formula>
    </cfRule>
    <cfRule type="cellIs" dxfId="274" priority="373" operator="equal">
      <formula>"Moderado"</formula>
    </cfRule>
    <cfRule type="cellIs" dxfId="273" priority="374" operator="equal">
      <formula>"Bajo"</formula>
    </cfRule>
  </conditionalFormatting>
  <conditionalFormatting sqref="R30:R32">
    <cfRule type="containsText" dxfId="272" priority="370" operator="containsText" text="❌">
      <formula>NOT(ISERROR(SEARCH("❌",R30)))</formula>
    </cfRule>
  </conditionalFormatting>
  <conditionalFormatting sqref="O16">
    <cfRule type="cellIs" dxfId="271" priority="320" operator="equal">
      <formula>"Muy Alta"</formula>
    </cfRule>
    <cfRule type="cellIs" dxfId="270" priority="321" operator="equal">
      <formula>"Alta"</formula>
    </cfRule>
    <cfRule type="cellIs" dxfId="269" priority="322" operator="equal">
      <formula>"Media"</formula>
    </cfRule>
    <cfRule type="cellIs" dxfId="268" priority="323" operator="equal">
      <formula>"Baja"</formula>
    </cfRule>
    <cfRule type="cellIs" dxfId="267" priority="324" operator="equal">
      <formula>"Muy Baja"</formula>
    </cfRule>
  </conditionalFormatting>
  <conditionalFormatting sqref="S16">
    <cfRule type="cellIs" dxfId="266" priority="315" operator="equal">
      <formula>"Catastrófico"</formula>
    </cfRule>
    <cfRule type="cellIs" dxfId="265" priority="316" operator="equal">
      <formula>"Mayor"</formula>
    </cfRule>
    <cfRule type="cellIs" dxfId="264" priority="317" operator="equal">
      <formula>"Moderado"</formula>
    </cfRule>
    <cfRule type="cellIs" dxfId="263" priority="318" operator="equal">
      <formula>"Menor"</formula>
    </cfRule>
    <cfRule type="cellIs" dxfId="262" priority="319" operator="equal">
      <formula>"Leve"</formula>
    </cfRule>
  </conditionalFormatting>
  <conditionalFormatting sqref="U16">
    <cfRule type="cellIs" dxfId="261" priority="311" operator="equal">
      <formula>"Extremo"</formula>
    </cfRule>
    <cfRule type="cellIs" dxfId="260" priority="312" operator="equal">
      <formula>"Alto"</formula>
    </cfRule>
    <cfRule type="cellIs" dxfId="259" priority="313" operator="equal">
      <formula>"Moderado"</formula>
    </cfRule>
    <cfRule type="cellIs" dxfId="258" priority="314" operator="equal">
      <formula>"Bajo"</formula>
    </cfRule>
  </conditionalFormatting>
  <conditionalFormatting sqref="R16">
    <cfRule type="containsText" dxfId="257" priority="310" operator="containsText" text="❌">
      <formula>NOT(ISERROR(SEARCH("❌",R16)))</formula>
    </cfRule>
  </conditionalFormatting>
  <conditionalFormatting sqref="S17">
    <cfRule type="cellIs" dxfId="256" priority="305" operator="equal">
      <formula>"Catastrófico"</formula>
    </cfRule>
    <cfRule type="cellIs" dxfId="255" priority="306" operator="equal">
      <formula>"Mayor"</formula>
    </cfRule>
    <cfRule type="cellIs" dxfId="254" priority="307" operator="equal">
      <formula>"Moderado"</formula>
    </cfRule>
    <cfRule type="cellIs" dxfId="253" priority="308" operator="equal">
      <formula>"Menor"</formula>
    </cfRule>
    <cfRule type="cellIs" dxfId="252" priority="309" operator="equal">
      <formula>"Leve"</formula>
    </cfRule>
  </conditionalFormatting>
  <conditionalFormatting sqref="O17">
    <cfRule type="cellIs" dxfId="251" priority="300" operator="equal">
      <formula>"Muy Alta"</formula>
    </cfRule>
    <cfRule type="cellIs" dxfId="250" priority="301" operator="equal">
      <formula>"Alta"</formula>
    </cfRule>
    <cfRule type="cellIs" dxfId="249" priority="302" operator="equal">
      <formula>"Media"</formula>
    </cfRule>
    <cfRule type="cellIs" dxfId="248" priority="303" operator="equal">
      <formula>"Baja"</formula>
    </cfRule>
    <cfRule type="cellIs" dxfId="247" priority="304" operator="equal">
      <formula>"Muy Baja"</formula>
    </cfRule>
  </conditionalFormatting>
  <conditionalFormatting sqref="U17">
    <cfRule type="cellIs" dxfId="246" priority="296" operator="equal">
      <formula>"Extremo"</formula>
    </cfRule>
    <cfRule type="cellIs" dxfId="245" priority="297" operator="equal">
      <formula>"Alto"</formula>
    </cfRule>
    <cfRule type="cellIs" dxfId="244" priority="298" operator="equal">
      <formula>"Moderado"</formula>
    </cfRule>
    <cfRule type="cellIs" dxfId="243" priority="299" operator="equal">
      <formula>"Bajo"</formula>
    </cfRule>
  </conditionalFormatting>
  <conditionalFormatting sqref="R17">
    <cfRule type="containsText" dxfId="242" priority="295" operator="containsText" text="❌">
      <formula>NOT(ISERROR(SEARCH("❌",R17)))</formula>
    </cfRule>
  </conditionalFormatting>
  <conditionalFormatting sqref="O61">
    <cfRule type="cellIs" dxfId="241" priority="290" operator="equal">
      <formula>"Muy Alta"</formula>
    </cfRule>
    <cfRule type="cellIs" dxfId="240" priority="291" operator="equal">
      <formula>"Alta"</formula>
    </cfRule>
    <cfRule type="cellIs" dxfId="239" priority="292" operator="equal">
      <formula>"Media"</formula>
    </cfRule>
    <cfRule type="cellIs" dxfId="238" priority="293" operator="equal">
      <formula>"Baja"</formula>
    </cfRule>
    <cfRule type="cellIs" dxfId="237" priority="294" operator="equal">
      <formula>"Muy Baja"</formula>
    </cfRule>
  </conditionalFormatting>
  <conditionalFormatting sqref="S61">
    <cfRule type="cellIs" dxfId="236" priority="285" operator="equal">
      <formula>"Catastrófico"</formula>
    </cfRule>
    <cfRule type="cellIs" dxfId="235" priority="286" operator="equal">
      <formula>"Mayor"</formula>
    </cfRule>
    <cfRule type="cellIs" dxfId="234" priority="287" operator="equal">
      <formula>"Moderado"</formula>
    </cfRule>
    <cfRule type="cellIs" dxfId="233" priority="288" operator="equal">
      <formula>"Menor"</formula>
    </cfRule>
    <cfRule type="cellIs" dxfId="232" priority="289" operator="equal">
      <formula>"Leve"</formula>
    </cfRule>
  </conditionalFormatting>
  <conditionalFormatting sqref="U61">
    <cfRule type="cellIs" dxfId="231" priority="281" operator="equal">
      <formula>"Extremo"</formula>
    </cfRule>
    <cfRule type="cellIs" dxfId="230" priority="282" operator="equal">
      <formula>"Alto"</formula>
    </cfRule>
    <cfRule type="cellIs" dxfId="229" priority="283" operator="equal">
      <formula>"Moderado"</formula>
    </cfRule>
    <cfRule type="cellIs" dxfId="228" priority="284" operator="equal">
      <formula>"Bajo"</formula>
    </cfRule>
  </conditionalFormatting>
  <conditionalFormatting sqref="R61">
    <cfRule type="containsText" dxfId="227" priority="280" operator="containsText" text="❌">
      <formula>NOT(ISERROR(SEARCH("❌",R61)))</formula>
    </cfRule>
  </conditionalFormatting>
  <conditionalFormatting sqref="S62">
    <cfRule type="cellIs" dxfId="226" priority="275" operator="equal">
      <formula>"Catastrófico"</formula>
    </cfRule>
    <cfRule type="cellIs" dxfId="225" priority="276" operator="equal">
      <formula>"Mayor"</formula>
    </cfRule>
    <cfRule type="cellIs" dxfId="224" priority="277" operator="equal">
      <formula>"Moderado"</formula>
    </cfRule>
    <cfRule type="cellIs" dxfId="223" priority="278" operator="equal">
      <formula>"Menor"</formula>
    </cfRule>
    <cfRule type="cellIs" dxfId="222" priority="279" operator="equal">
      <formula>"Leve"</formula>
    </cfRule>
  </conditionalFormatting>
  <conditionalFormatting sqref="O62">
    <cfRule type="cellIs" dxfId="221" priority="270" operator="equal">
      <formula>"Muy Alta"</formula>
    </cfRule>
    <cfRule type="cellIs" dxfId="220" priority="271" operator="equal">
      <formula>"Alta"</formula>
    </cfRule>
    <cfRule type="cellIs" dxfId="219" priority="272" operator="equal">
      <formula>"Media"</formula>
    </cfRule>
    <cfRule type="cellIs" dxfId="218" priority="273" operator="equal">
      <formula>"Baja"</formula>
    </cfRule>
    <cfRule type="cellIs" dxfId="217" priority="274" operator="equal">
      <formula>"Muy Baja"</formula>
    </cfRule>
  </conditionalFormatting>
  <conditionalFormatting sqref="U62">
    <cfRule type="cellIs" dxfId="216" priority="266" operator="equal">
      <formula>"Extremo"</formula>
    </cfRule>
    <cfRule type="cellIs" dxfId="215" priority="267" operator="equal">
      <formula>"Alto"</formula>
    </cfRule>
    <cfRule type="cellIs" dxfId="214" priority="268" operator="equal">
      <formula>"Moderado"</formula>
    </cfRule>
    <cfRule type="cellIs" dxfId="213" priority="269" operator="equal">
      <formula>"Bajo"</formula>
    </cfRule>
  </conditionalFormatting>
  <conditionalFormatting sqref="R62">
    <cfRule type="containsText" dxfId="212" priority="265" operator="containsText" text="❌">
      <formula>NOT(ISERROR(SEARCH("❌",R62)))</formula>
    </cfRule>
  </conditionalFormatting>
  <conditionalFormatting sqref="S58">
    <cfRule type="cellIs" dxfId="211" priority="246" operator="equal">
      <formula>"Catastrófico"</formula>
    </cfRule>
    <cfRule type="cellIs" dxfId="210" priority="247" operator="equal">
      <formula>"Mayor"</formula>
    </cfRule>
    <cfRule type="cellIs" dxfId="209" priority="248" operator="equal">
      <formula>"Moderado"</formula>
    </cfRule>
    <cfRule type="cellIs" dxfId="208" priority="249" operator="equal">
      <formula>"Menor"</formula>
    </cfRule>
    <cfRule type="cellIs" dxfId="207" priority="250" operator="equal">
      <formula>"Leve"</formula>
    </cfRule>
  </conditionalFormatting>
  <conditionalFormatting sqref="O58">
    <cfRule type="cellIs" dxfId="206" priority="241" operator="equal">
      <formula>"Muy Alta"</formula>
    </cfRule>
    <cfRule type="cellIs" dxfId="205" priority="242" operator="equal">
      <formula>"Alta"</formula>
    </cfRule>
    <cfRule type="cellIs" dxfId="204" priority="243" operator="equal">
      <formula>"Media"</formula>
    </cfRule>
    <cfRule type="cellIs" dxfId="203" priority="244" operator="equal">
      <formula>"Baja"</formula>
    </cfRule>
    <cfRule type="cellIs" dxfId="202" priority="245" operator="equal">
      <formula>"Muy Baja"</formula>
    </cfRule>
  </conditionalFormatting>
  <conditionalFormatting sqref="U58">
    <cfRule type="cellIs" dxfId="201" priority="237" operator="equal">
      <formula>"Extremo"</formula>
    </cfRule>
    <cfRule type="cellIs" dxfId="200" priority="238" operator="equal">
      <formula>"Alto"</formula>
    </cfRule>
    <cfRule type="cellIs" dxfId="199" priority="239" operator="equal">
      <formula>"Moderado"</formula>
    </cfRule>
    <cfRule type="cellIs" dxfId="198" priority="240" operator="equal">
      <formula>"Bajo"</formula>
    </cfRule>
  </conditionalFormatting>
  <conditionalFormatting sqref="R58:R59">
    <cfRule type="containsText" dxfId="197" priority="236" operator="containsText" text="❌">
      <formula>NOT(ISERROR(SEARCH("❌",R58)))</formula>
    </cfRule>
  </conditionalFormatting>
  <conditionalFormatting sqref="AJ39">
    <cfRule type="cellIs" dxfId="196" priority="208" operator="equal">
      <formula>"Extremo"</formula>
    </cfRule>
    <cfRule type="cellIs" dxfId="195" priority="209" operator="equal">
      <formula>"Alto"</formula>
    </cfRule>
    <cfRule type="cellIs" dxfId="194" priority="210" operator="equal">
      <formula>"Moderado"</formula>
    </cfRule>
    <cfRule type="cellIs" dxfId="193" priority="211" operator="equal">
      <formula>"Bajo"</formula>
    </cfRule>
  </conditionalFormatting>
  <conditionalFormatting sqref="AF39">
    <cfRule type="cellIs" dxfId="192" priority="217" operator="equal">
      <formula>"Muy Alta"</formula>
    </cfRule>
    <cfRule type="cellIs" dxfId="191" priority="218" operator="equal">
      <formula>"Alta"</formula>
    </cfRule>
    <cfRule type="cellIs" dxfId="190" priority="219" operator="equal">
      <formula>"Media"</formula>
    </cfRule>
    <cfRule type="cellIs" dxfId="189" priority="220" operator="equal">
      <formula>"Baja"</formula>
    </cfRule>
    <cfRule type="cellIs" dxfId="188" priority="221" operator="equal">
      <formula>"Muy Baja"</formula>
    </cfRule>
  </conditionalFormatting>
  <conditionalFormatting sqref="AH39">
    <cfRule type="cellIs" dxfId="187" priority="212" operator="equal">
      <formula>"Catastrófico"</formula>
    </cfRule>
    <cfRule type="cellIs" dxfId="186" priority="213" operator="equal">
      <formula>"Mayor"</formula>
    </cfRule>
    <cfRule type="cellIs" dxfId="185" priority="214" operator="equal">
      <formula>"Moderado"</formula>
    </cfRule>
    <cfRule type="cellIs" dxfId="184" priority="215" operator="equal">
      <formula>"Menor"</formula>
    </cfRule>
    <cfRule type="cellIs" dxfId="183" priority="216" operator="equal">
      <formula>"Leve"</formula>
    </cfRule>
  </conditionalFormatting>
  <conditionalFormatting sqref="AF23">
    <cfRule type="cellIs" dxfId="182" priority="189" operator="equal">
      <formula>"Muy Alta"</formula>
    </cfRule>
    <cfRule type="cellIs" dxfId="181" priority="190" operator="equal">
      <formula>"Alta"</formula>
    </cfRule>
    <cfRule type="cellIs" dxfId="180" priority="191" operator="equal">
      <formula>"Media"</formula>
    </cfRule>
    <cfRule type="cellIs" dxfId="179" priority="192" operator="equal">
      <formula>"Baja"</formula>
    </cfRule>
    <cfRule type="cellIs" dxfId="178" priority="193" operator="equal">
      <formula>"Muy Baja"</formula>
    </cfRule>
  </conditionalFormatting>
  <conditionalFormatting sqref="AH23">
    <cfRule type="cellIs" dxfId="177" priority="184" operator="equal">
      <formula>"Catastrófico"</formula>
    </cfRule>
    <cfRule type="cellIs" dxfId="176" priority="185" operator="equal">
      <formula>"Mayor"</formula>
    </cfRule>
    <cfRule type="cellIs" dxfId="175" priority="186" operator="equal">
      <formula>"Moderado"</formula>
    </cfRule>
    <cfRule type="cellIs" dxfId="174" priority="187" operator="equal">
      <formula>"Menor"</formula>
    </cfRule>
    <cfRule type="cellIs" dxfId="173" priority="188" operator="equal">
      <formula>"Leve"</formula>
    </cfRule>
  </conditionalFormatting>
  <conditionalFormatting sqref="AJ23">
    <cfRule type="cellIs" dxfId="172" priority="180" operator="equal">
      <formula>"Extremo"</formula>
    </cfRule>
    <cfRule type="cellIs" dxfId="171" priority="181" operator="equal">
      <formula>"Alto"</formula>
    </cfRule>
    <cfRule type="cellIs" dxfId="170" priority="182" operator="equal">
      <formula>"Moderado"</formula>
    </cfRule>
    <cfRule type="cellIs" dxfId="169" priority="183" operator="equal">
      <formula>"Bajo"</formula>
    </cfRule>
  </conditionalFormatting>
  <conditionalFormatting sqref="S50">
    <cfRule type="cellIs" dxfId="168" priority="175" operator="equal">
      <formula>"Catastrófico"</formula>
    </cfRule>
    <cfRule type="cellIs" dxfId="167" priority="176" operator="equal">
      <formula>"Mayor"</formula>
    </cfRule>
    <cfRule type="cellIs" dxfId="166" priority="177" operator="equal">
      <formula>"Moderado"</formula>
    </cfRule>
    <cfRule type="cellIs" dxfId="165" priority="178" operator="equal">
      <formula>"Menor"</formula>
    </cfRule>
    <cfRule type="cellIs" dxfId="164" priority="179" operator="equal">
      <formula>"Leve"</formula>
    </cfRule>
  </conditionalFormatting>
  <conditionalFormatting sqref="O50">
    <cfRule type="cellIs" dxfId="163" priority="170" operator="equal">
      <formula>"Muy Alta"</formula>
    </cfRule>
    <cfRule type="cellIs" dxfId="162" priority="171" operator="equal">
      <formula>"Alta"</formula>
    </cfRule>
    <cfRule type="cellIs" dxfId="161" priority="172" operator="equal">
      <formula>"Media"</formula>
    </cfRule>
    <cfRule type="cellIs" dxfId="160" priority="173" operator="equal">
      <formula>"Baja"</formula>
    </cfRule>
    <cfRule type="cellIs" dxfId="159" priority="174" operator="equal">
      <formula>"Muy Baja"</formula>
    </cfRule>
  </conditionalFormatting>
  <conditionalFormatting sqref="U50">
    <cfRule type="cellIs" dxfId="158" priority="166" operator="equal">
      <formula>"Extremo"</formula>
    </cfRule>
    <cfRule type="cellIs" dxfId="157" priority="167" operator="equal">
      <formula>"Alto"</formula>
    </cfRule>
    <cfRule type="cellIs" dxfId="156" priority="168" operator="equal">
      <formula>"Moderado"</formula>
    </cfRule>
    <cfRule type="cellIs" dxfId="155" priority="169" operator="equal">
      <formula>"Bajo"</formula>
    </cfRule>
  </conditionalFormatting>
  <conditionalFormatting sqref="R50">
    <cfRule type="containsText" dxfId="154" priority="165" operator="containsText" text="❌">
      <formula>NOT(ISERROR(SEARCH("❌",R50)))</formula>
    </cfRule>
  </conditionalFormatting>
  <conditionalFormatting sqref="S52">
    <cfRule type="cellIs" dxfId="153" priority="160" operator="equal">
      <formula>"Catastrófico"</formula>
    </cfRule>
    <cfRule type="cellIs" dxfId="152" priority="161" operator="equal">
      <formula>"Mayor"</formula>
    </cfRule>
    <cfRule type="cellIs" dxfId="151" priority="162" operator="equal">
      <formula>"Moderado"</formula>
    </cfRule>
    <cfRule type="cellIs" dxfId="150" priority="163" operator="equal">
      <formula>"Menor"</formula>
    </cfRule>
    <cfRule type="cellIs" dxfId="149" priority="164" operator="equal">
      <formula>"Leve"</formula>
    </cfRule>
  </conditionalFormatting>
  <conditionalFormatting sqref="O52">
    <cfRule type="cellIs" dxfId="148" priority="155" operator="equal">
      <formula>"Muy Alta"</formula>
    </cfRule>
    <cfRule type="cellIs" dxfId="147" priority="156" operator="equal">
      <formula>"Alta"</formula>
    </cfRule>
    <cfRule type="cellIs" dxfId="146" priority="157" operator="equal">
      <formula>"Media"</formula>
    </cfRule>
    <cfRule type="cellIs" dxfId="145" priority="158" operator="equal">
      <formula>"Baja"</formula>
    </cfRule>
    <cfRule type="cellIs" dxfId="144" priority="159" operator="equal">
      <formula>"Muy Baja"</formula>
    </cfRule>
  </conditionalFormatting>
  <conditionalFormatting sqref="U52">
    <cfRule type="cellIs" dxfId="143" priority="151" operator="equal">
      <formula>"Extremo"</formula>
    </cfRule>
    <cfRule type="cellIs" dxfId="142" priority="152" operator="equal">
      <formula>"Alto"</formula>
    </cfRule>
    <cfRule type="cellIs" dxfId="141" priority="153" operator="equal">
      <formula>"Moderado"</formula>
    </cfRule>
    <cfRule type="cellIs" dxfId="140" priority="154" operator="equal">
      <formula>"Bajo"</formula>
    </cfRule>
  </conditionalFormatting>
  <conditionalFormatting sqref="R52">
    <cfRule type="containsText" dxfId="139" priority="150" operator="containsText" text="❌">
      <formula>NOT(ISERROR(SEARCH("❌",R52)))</formula>
    </cfRule>
  </conditionalFormatting>
  <conditionalFormatting sqref="O54">
    <cfRule type="cellIs" dxfId="138" priority="145" operator="equal">
      <formula>"Muy Alta"</formula>
    </cfRule>
    <cfRule type="cellIs" dxfId="137" priority="146" operator="equal">
      <formula>"Alta"</formula>
    </cfRule>
    <cfRule type="cellIs" dxfId="136" priority="147" operator="equal">
      <formula>"Media"</formula>
    </cfRule>
    <cfRule type="cellIs" dxfId="135" priority="148" operator="equal">
      <formula>"Baja"</formula>
    </cfRule>
    <cfRule type="cellIs" dxfId="134" priority="149" operator="equal">
      <formula>"Muy Baja"</formula>
    </cfRule>
  </conditionalFormatting>
  <conditionalFormatting sqref="S54">
    <cfRule type="cellIs" dxfId="133" priority="140" operator="equal">
      <formula>"Catastrófico"</formula>
    </cfRule>
    <cfRule type="cellIs" dxfId="132" priority="141" operator="equal">
      <formula>"Mayor"</formula>
    </cfRule>
    <cfRule type="cellIs" dxfId="131" priority="142" operator="equal">
      <formula>"Moderado"</formula>
    </cfRule>
    <cfRule type="cellIs" dxfId="130" priority="143" operator="equal">
      <formula>"Menor"</formula>
    </cfRule>
    <cfRule type="cellIs" dxfId="129" priority="144" operator="equal">
      <formula>"Leve"</formula>
    </cfRule>
  </conditionalFormatting>
  <conditionalFormatting sqref="U54">
    <cfRule type="cellIs" dxfId="128" priority="136" operator="equal">
      <formula>"Extremo"</formula>
    </cfRule>
    <cfRule type="cellIs" dxfId="127" priority="137" operator="equal">
      <formula>"Alto"</formula>
    </cfRule>
    <cfRule type="cellIs" dxfId="126" priority="138" operator="equal">
      <formula>"Moderado"</formula>
    </cfRule>
    <cfRule type="cellIs" dxfId="125" priority="139" operator="equal">
      <formula>"Bajo"</formula>
    </cfRule>
  </conditionalFormatting>
  <conditionalFormatting sqref="R54">
    <cfRule type="containsText" dxfId="124" priority="135" operator="containsText" text="❌">
      <formula>NOT(ISERROR(SEARCH("❌",R54)))</formula>
    </cfRule>
  </conditionalFormatting>
  <conditionalFormatting sqref="S46">
    <cfRule type="cellIs" dxfId="123" priority="130" operator="equal">
      <formula>"Catastrófico"</formula>
    </cfRule>
    <cfRule type="cellIs" dxfId="122" priority="131" operator="equal">
      <formula>"Mayor"</formula>
    </cfRule>
    <cfRule type="cellIs" dxfId="121" priority="132" operator="equal">
      <formula>"Moderado"</formula>
    </cfRule>
    <cfRule type="cellIs" dxfId="120" priority="133" operator="equal">
      <formula>"Menor"</formula>
    </cfRule>
    <cfRule type="cellIs" dxfId="119" priority="134" operator="equal">
      <formula>"Leve"</formula>
    </cfRule>
  </conditionalFormatting>
  <conditionalFormatting sqref="O46">
    <cfRule type="cellIs" dxfId="118" priority="125" operator="equal">
      <formula>"Muy Alta"</formula>
    </cfRule>
    <cfRule type="cellIs" dxfId="117" priority="126" operator="equal">
      <formula>"Alta"</formula>
    </cfRule>
    <cfRule type="cellIs" dxfId="116" priority="127" operator="equal">
      <formula>"Media"</formula>
    </cfRule>
    <cfRule type="cellIs" dxfId="115" priority="128" operator="equal">
      <formula>"Baja"</formula>
    </cfRule>
    <cfRule type="cellIs" dxfId="114" priority="129" operator="equal">
      <formula>"Muy Baja"</formula>
    </cfRule>
  </conditionalFormatting>
  <conditionalFormatting sqref="U46">
    <cfRule type="cellIs" dxfId="113" priority="121" operator="equal">
      <formula>"Extremo"</formula>
    </cfRule>
    <cfRule type="cellIs" dxfId="112" priority="122" operator="equal">
      <formula>"Alto"</formula>
    </cfRule>
    <cfRule type="cellIs" dxfId="111" priority="123" operator="equal">
      <formula>"Moderado"</formula>
    </cfRule>
    <cfRule type="cellIs" dxfId="110" priority="124" operator="equal">
      <formula>"Bajo"</formula>
    </cfRule>
  </conditionalFormatting>
  <conditionalFormatting sqref="R46">
    <cfRule type="containsText" dxfId="109" priority="120" operator="containsText" text="❌">
      <formula>NOT(ISERROR(SEARCH("❌",R46)))</formula>
    </cfRule>
  </conditionalFormatting>
  <conditionalFormatting sqref="O60">
    <cfRule type="cellIs" dxfId="108" priority="115" operator="equal">
      <formula>"Muy Alta"</formula>
    </cfRule>
    <cfRule type="cellIs" dxfId="107" priority="116" operator="equal">
      <formula>"Alta"</formula>
    </cfRule>
    <cfRule type="cellIs" dxfId="106" priority="117" operator="equal">
      <formula>"Media"</formula>
    </cfRule>
    <cfRule type="cellIs" dxfId="105" priority="118" operator="equal">
      <formula>"Baja"</formula>
    </cfRule>
    <cfRule type="cellIs" dxfId="104" priority="119" operator="equal">
      <formula>"Muy Baja"</formula>
    </cfRule>
  </conditionalFormatting>
  <conditionalFormatting sqref="S60">
    <cfRule type="cellIs" dxfId="103" priority="110" operator="equal">
      <formula>"Catastrófico"</formula>
    </cfRule>
    <cfRule type="cellIs" dxfId="102" priority="111" operator="equal">
      <formula>"Mayor"</formula>
    </cfRule>
    <cfRule type="cellIs" dxfId="101" priority="112" operator="equal">
      <formula>"Moderado"</formula>
    </cfRule>
    <cfRule type="cellIs" dxfId="100" priority="113" operator="equal">
      <formula>"Menor"</formula>
    </cfRule>
    <cfRule type="cellIs" dxfId="99" priority="114" operator="equal">
      <formula>"Leve"</formula>
    </cfRule>
  </conditionalFormatting>
  <conditionalFormatting sqref="U60">
    <cfRule type="cellIs" dxfId="98" priority="106" operator="equal">
      <formula>"Extremo"</formula>
    </cfRule>
    <cfRule type="cellIs" dxfId="97" priority="107" operator="equal">
      <formula>"Alto"</formula>
    </cfRule>
    <cfRule type="cellIs" dxfId="96" priority="108" operator="equal">
      <formula>"Moderado"</formula>
    </cfRule>
    <cfRule type="cellIs" dxfId="95" priority="109" operator="equal">
      <formula>"Bajo"</formula>
    </cfRule>
  </conditionalFormatting>
  <conditionalFormatting sqref="R60">
    <cfRule type="containsText" dxfId="94" priority="105" operator="containsText" text="❌">
      <formula>NOT(ISERROR(SEARCH("❌",R60)))</formula>
    </cfRule>
  </conditionalFormatting>
  <conditionalFormatting sqref="S64">
    <cfRule type="cellIs" dxfId="93" priority="86" operator="equal">
      <formula>"Catastrófico"</formula>
    </cfRule>
    <cfRule type="cellIs" dxfId="92" priority="87" operator="equal">
      <formula>"Mayor"</formula>
    </cfRule>
    <cfRule type="cellIs" dxfId="91" priority="88" operator="equal">
      <formula>"Moderado"</formula>
    </cfRule>
    <cfRule type="cellIs" dxfId="90" priority="89" operator="equal">
      <formula>"Menor"</formula>
    </cfRule>
    <cfRule type="cellIs" dxfId="89" priority="90" operator="equal">
      <formula>"Leve"</formula>
    </cfRule>
  </conditionalFormatting>
  <conditionalFormatting sqref="O64">
    <cfRule type="cellIs" dxfId="88" priority="81" operator="equal">
      <formula>"Muy Alta"</formula>
    </cfRule>
    <cfRule type="cellIs" dxfId="87" priority="82" operator="equal">
      <formula>"Alta"</formula>
    </cfRule>
    <cfRule type="cellIs" dxfId="86" priority="83" operator="equal">
      <formula>"Media"</formula>
    </cfRule>
    <cfRule type="cellIs" dxfId="85" priority="84" operator="equal">
      <formula>"Baja"</formula>
    </cfRule>
    <cfRule type="cellIs" dxfId="84" priority="85" operator="equal">
      <formula>"Muy Baja"</formula>
    </cfRule>
  </conditionalFormatting>
  <conditionalFormatting sqref="U64">
    <cfRule type="cellIs" dxfId="83" priority="77" operator="equal">
      <formula>"Extremo"</formula>
    </cfRule>
    <cfRule type="cellIs" dxfId="82" priority="78" operator="equal">
      <formula>"Alto"</formula>
    </cfRule>
    <cfRule type="cellIs" dxfId="81" priority="79" operator="equal">
      <formula>"Moderado"</formula>
    </cfRule>
    <cfRule type="cellIs" dxfId="80" priority="80" operator="equal">
      <formula>"Bajo"</formula>
    </cfRule>
  </conditionalFormatting>
  <conditionalFormatting sqref="R64:R66">
    <cfRule type="containsText" dxfId="79" priority="76" operator="containsText" text="❌">
      <formula>NOT(ISERROR(SEARCH("❌",R64)))</formula>
    </cfRule>
  </conditionalFormatting>
  <conditionalFormatting sqref="AF35">
    <cfRule type="cellIs" dxfId="78" priority="71" operator="equal">
      <formula>"Muy Alta"</formula>
    </cfRule>
    <cfRule type="cellIs" dxfId="77" priority="72" operator="equal">
      <formula>"Alta"</formula>
    </cfRule>
    <cfRule type="cellIs" dxfId="76" priority="73" operator="equal">
      <formula>"Media"</formula>
    </cfRule>
    <cfRule type="cellIs" dxfId="75" priority="74" operator="equal">
      <formula>"Baja"</formula>
    </cfRule>
    <cfRule type="cellIs" dxfId="74" priority="75" operator="equal">
      <formula>"Muy Baja"</formula>
    </cfRule>
  </conditionalFormatting>
  <conditionalFormatting sqref="AH35">
    <cfRule type="cellIs" dxfId="73" priority="66" operator="equal">
      <formula>"Catastrófico"</formula>
    </cfRule>
    <cfRule type="cellIs" dxfId="72" priority="67" operator="equal">
      <formula>"Mayor"</formula>
    </cfRule>
    <cfRule type="cellIs" dxfId="71" priority="68" operator="equal">
      <formula>"Moderado"</formula>
    </cfRule>
    <cfRule type="cellIs" dxfId="70" priority="69" operator="equal">
      <formula>"Menor"</formula>
    </cfRule>
    <cfRule type="cellIs" dxfId="69" priority="70" operator="equal">
      <formula>"Leve"</formula>
    </cfRule>
  </conditionalFormatting>
  <conditionalFormatting sqref="AJ35">
    <cfRule type="cellIs" dxfId="68" priority="62" operator="equal">
      <formula>"Extremo"</formula>
    </cfRule>
    <cfRule type="cellIs" dxfId="67" priority="63" operator="equal">
      <formula>"Alto"</formula>
    </cfRule>
    <cfRule type="cellIs" dxfId="66" priority="64" operator="equal">
      <formula>"Moderado"</formula>
    </cfRule>
    <cfRule type="cellIs" dxfId="65" priority="65" operator="equal">
      <formula>"Bajo"</formula>
    </cfRule>
  </conditionalFormatting>
  <conditionalFormatting sqref="AF37">
    <cfRule type="cellIs" dxfId="64" priority="57" operator="equal">
      <formula>"Muy Alta"</formula>
    </cfRule>
    <cfRule type="cellIs" dxfId="63" priority="58" operator="equal">
      <formula>"Alta"</formula>
    </cfRule>
    <cfRule type="cellIs" dxfId="62" priority="59" operator="equal">
      <formula>"Media"</formula>
    </cfRule>
    <cfRule type="cellIs" dxfId="61" priority="60" operator="equal">
      <formula>"Baja"</formula>
    </cfRule>
    <cfRule type="cellIs" dxfId="60" priority="61" operator="equal">
      <formula>"Muy Baja"</formula>
    </cfRule>
  </conditionalFormatting>
  <conditionalFormatting sqref="AH37">
    <cfRule type="cellIs" dxfId="59" priority="52" operator="equal">
      <formula>"Catastrófico"</formula>
    </cfRule>
    <cfRule type="cellIs" dxfId="58" priority="53" operator="equal">
      <formula>"Mayor"</formula>
    </cfRule>
    <cfRule type="cellIs" dxfId="57" priority="54" operator="equal">
      <formula>"Moderado"</formula>
    </cfRule>
    <cfRule type="cellIs" dxfId="56" priority="55" operator="equal">
      <formula>"Menor"</formula>
    </cfRule>
    <cfRule type="cellIs" dxfId="55" priority="56" operator="equal">
      <formula>"Leve"</formula>
    </cfRule>
  </conditionalFormatting>
  <conditionalFormatting sqref="AJ37">
    <cfRule type="cellIs" dxfId="54" priority="48" operator="equal">
      <formula>"Extremo"</formula>
    </cfRule>
    <cfRule type="cellIs" dxfId="53" priority="49" operator="equal">
      <formula>"Alto"</formula>
    </cfRule>
    <cfRule type="cellIs" dxfId="52" priority="50" operator="equal">
      <formula>"Moderado"</formula>
    </cfRule>
    <cfRule type="cellIs" dxfId="51" priority="51" operator="equal">
      <formula>"Bajo"</formula>
    </cfRule>
  </conditionalFormatting>
  <conditionalFormatting sqref="AF46">
    <cfRule type="cellIs" dxfId="50" priority="43" operator="equal">
      <formula>"Muy Alta"</formula>
    </cfRule>
    <cfRule type="cellIs" dxfId="49" priority="44" operator="equal">
      <formula>"Alta"</formula>
    </cfRule>
    <cfRule type="cellIs" dxfId="48" priority="45" operator="equal">
      <formula>"Media"</formula>
    </cfRule>
    <cfRule type="cellIs" dxfId="47" priority="46" operator="equal">
      <formula>"Baja"</formula>
    </cfRule>
    <cfRule type="cellIs" dxfId="46" priority="47" operator="equal">
      <formula>"Muy Baja"</formula>
    </cfRule>
  </conditionalFormatting>
  <conditionalFormatting sqref="AH46">
    <cfRule type="cellIs" dxfId="45" priority="38" operator="equal">
      <formula>"Catastrófico"</formula>
    </cfRule>
    <cfRule type="cellIs" dxfId="44" priority="39" operator="equal">
      <formula>"Mayor"</formula>
    </cfRule>
    <cfRule type="cellIs" dxfId="43" priority="40" operator="equal">
      <formula>"Moderado"</formula>
    </cfRule>
    <cfRule type="cellIs" dxfId="42" priority="41" operator="equal">
      <formula>"Menor"</formula>
    </cfRule>
    <cfRule type="cellIs" dxfId="41" priority="42" operator="equal">
      <formula>"Leve"</formula>
    </cfRule>
  </conditionalFormatting>
  <conditionalFormatting sqref="AJ46">
    <cfRule type="cellIs" dxfId="40" priority="34" operator="equal">
      <formula>"Extremo"</formula>
    </cfRule>
    <cfRule type="cellIs" dxfId="39" priority="35" operator="equal">
      <formula>"Alto"</formula>
    </cfRule>
    <cfRule type="cellIs" dxfId="38" priority="36" operator="equal">
      <formula>"Moderado"</formula>
    </cfRule>
    <cfRule type="cellIs" dxfId="37" priority="37" operator="equal">
      <formula>"Bajo"</formula>
    </cfRule>
  </conditionalFormatting>
  <conditionalFormatting sqref="AF50">
    <cfRule type="cellIs" dxfId="36" priority="29" operator="equal">
      <formula>"Muy Alta"</formula>
    </cfRule>
    <cfRule type="cellIs" dxfId="35" priority="30" operator="equal">
      <formula>"Alta"</formula>
    </cfRule>
    <cfRule type="cellIs" dxfId="34" priority="31" operator="equal">
      <formula>"Media"</formula>
    </cfRule>
    <cfRule type="cellIs" dxfId="33" priority="32" operator="equal">
      <formula>"Baja"</formula>
    </cfRule>
    <cfRule type="cellIs" dxfId="32" priority="33" operator="equal">
      <formula>"Muy Baja"</formula>
    </cfRule>
  </conditionalFormatting>
  <conditionalFormatting sqref="AH50">
    <cfRule type="cellIs" dxfId="31" priority="24" operator="equal">
      <formula>"Catastrófico"</formula>
    </cfRule>
    <cfRule type="cellIs" dxfId="30" priority="25" operator="equal">
      <formula>"Mayor"</formula>
    </cfRule>
    <cfRule type="cellIs" dxfId="29" priority="26" operator="equal">
      <formula>"Moderado"</formula>
    </cfRule>
    <cfRule type="cellIs" dxfId="28" priority="27" operator="equal">
      <formula>"Menor"</formula>
    </cfRule>
    <cfRule type="cellIs" dxfId="27" priority="28" operator="equal">
      <formula>"Leve"</formula>
    </cfRule>
  </conditionalFormatting>
  <conditionalFormatting sqref="AJ50">
    <cfRule type="cellIs" dxfId="26" priority="20" operator="equal">
      <formula>"Extremo"</formula>
    </cfRule>
    <cfRule type="cellIs" dxfId="25" priority="21" operator="equal">
      <formula>"Alto"</formula>
    </cfRule>
    <cfRule type="cellIs" dxfId="24" priority="22" operator="equal">
      <formula>"Moderado"</formula>
    </cfRule>
    <cfRule type="cellIs" dxfId="23" priority="23" operator="equal">
      <formula>"Bajo"</formula>
    </cfRule>
  </conditionalFormatting>
  <conditionalFormatting sqref="AF52">
    <cfRule type="cellIs" dxfId="22" priority="15" operator="equal">
      <formula>"Muy Alta"</formula>
    </cfRule>
    <cfRule type="cellIs" dxfId="21" priority="16" operator="equal">
      <formula>"Alta"</formula>
    </cfRule>
    <cfRule type="cellIs" dxfId="20" priority="17" operator="equal">
      <formula>"Media"</formula>
    </cfRule>
    <cfRule type="cellIs" dxfId="19" priority="18" operator="equal">
      <formula>"Baja"</formula>
    </cfRule>
    <cfRule type="cellIs" dxfId="18" priority="19" operator="equal">
      <formula>"Muy Baja"</formula>
    </cfRule>
  </conditionalFormatting>
  <conditionalFormatting sqref="AH52">
    <cfRule type="cellIs" dxfId="17" priority="10" operator="equal">
      <formula>"Catastrófico"</formula>
    </cfRule>
    <cfRule type="cellIs" dxfId="16" priority="11" operator="equal">
      <formula>"Mayor"</formula>
    </cfRule>
    <cfRule type="cellIs" dxfId="15" priority="12" operator="equal">
      <formula>"Moderado"</formula>
    </cfRule>
    <cfRule type="cellIs" dxfId="14" priority="13" operator="equal">
      <formula>"Menor"</formula>
    </cfRule>
    <cfRule type="cellIs" dxfId="13" priority="14" operator="equal">
      <formula>"Leve"</formula>
    </cfRule>
  </conditionalFormatting>
  <conditionalFormatting sqref="AJ52">
    <cfRule type="cellIs" dxfId="12" priority="6" operator="equal">
      <formula>"Extremo"</formula>
    </cfRule>
    <cfRule type="cellIs" dxfId="11" priority="7" operator="equal">
      <formula>"Alto"</formula>
    </cfRule>
    <cfRule type="cellIs" dxfId="10" priority="8" operator="equal">
      <formula>"Moderado"</formula>
    </cfRule>
    <cfRule type="cellIs" dxfId="9" priority="9" operator="equal">
      <formula>"Bajo"</formula>
    </cfRule>
  </conditionalFormatting>
  <conditionalFormatting sqref="AF16">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dataValidations count="6">
    <dataValidation type="list" allowBlank="1" showInputMessage="1" showErrorMessage="1" sqref="D35 D37 D54 D46 D50 D52 D39:D40 D44" xr:uid="{B2CACBBD-2197-4E97-83BE-16841EF6AE30}">
      <formula1>"Riesgo de gestión, Riesgo de Corrupción, Riesgo de Seguridad de la información"</formula1>
    </dataValidation>
    <dataValidation type="list" allowBlank="1" showInputMessage="1" showErrorMessage="1" sqref="D55 D58 D60:D62 D64 D67 D16:D34" xr:uid="{F5ADEA7E-591B-4CED-985D-81127EDADDB1}">
      <formula1>"Riesgo de gestión, Riesgo de Corrupción, Riesgo de Seguridad Digital"</formula1>
    </dataValidation>
    <dataValidation allowBlank="1" showInputMessage="1" showErrorMessage="1" promptTitle="Riesgos de seguridad digital" prompt="La probabilidad y el impacto se determinan con base a la amenaza, no en las vulnerabilidades." sqref="L14" xr:uid="{F62D77C3-E08A-4171-A0CF-2BB5F0ED9C30}"/>
    <dataValidation type="list" allowBlank="1" showInputMessage="1" showErrorMessage="1" sqref="J17:L17 I35 I37 I67 I46 I50 I52 I54:I55 I58 I60:I62 I64 I39:I40 I44 I15:I17 I19 I23 I26 I28 I30 I33" xr:uid="{7DBFF382-DE82-441A-B295-66664FE70D78}">
      <mc:AlternateContent xmlns:x12ac="http://schemas.microsoft.com/office/spreadsheetml/2011/1/ac" xmlns:mc="http://schemas.openxmlformats.org/markup-compatibility/2006">
        <mc:Choice Requires="x12ac">
          <x12ac:list>No Aplica, Confidencialidad, Integridad, Disponibilidad, Confidencialidad e Integridad, Confidencialidad y Disponibilidad, Integridad y Disponibilidad," Confidencialidad, Integridad y Disponibilidad"</x12ac:list>
        </mc:Choice>
        <mc:Fallback>
          <formula1>"No Aplica, Confidencialidad, Integridad, Disponibilidad, Confidencialidad e Integridad, Confidencialidad y Disponibilidad, Integridad y Disponibilidad, Confidencialidad, Integridad y Disponibilidad"</formula1>
        </mc:Fallback>
      </mc:AlternateContent>
    </dataValidation>
    <dataValidation type="list" allowBlank="1" showInputMessage="1" showErrorMessage="1" sqref="J35 J37 J67 J46 J50 J52 J54:J55 J58 J60:J62 J64 J39:J40 J44 J15:J16 J19 J23 J26 J28 J30 J33" xr:uid="{AB6D2D28-0E41-4B1E-BEF5-AE28D88FE85A}">
      <formula1>"No Aplica, Información, Hardware, Software, Servicios, Personas, Instalaciones"</formula1>
    </dataValidation>
    <dataValidation type="list" allowBlank="1" showInputMessage="1" showErrorMessage="1" sqref="D15" xr:uid="{AC1098BC-BFF9-432F-811E-9BC65F91B4F1}">
      <formula1>"Riesgo de gestión, Riesgo de Seguridad Digital"</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5AEE985-422E-4D76-866C-D163BF0AFC3C}">
          <x14:formula1>
            <xm:f>'Tabla Valoración controles'!$D$4:$D$6</xm:f>
          </x14:formula1>
          <xm:sqref>Y37 Y46 Y50 Y58:Y64 Y26 Y67 Y15:Y19 Y39:Y44 Y52 Y35 Y23 Y54:Y55 Y32:Y33 Y28 Y30</xm:sqref>
        </x14:dataValidation>
        <x14:dataValidation type="list" allowBlank="1" showInputMessage="1" showErrorMessage="1" xr:uid="{FDEC38A9-E4BC-40D7-8909-D8112B46A40D}">
          <x14:formula1>
            <xm:f>'Tabla Valoración controles'!$D$7:$D$8</xm:f>
          </x14:formula1>
          <xm:sqref>Z37 Z46 Z50 Z58:Z64 Z26 Z67 Z15:Z19 Z39:Z44 Z52 Z35 Z23 Z54:Z55 Z32:Z33 Z28 Z30</xm:sqref>
        </x14:dataValidation>
        <x14:dataValidation type="list" allowBlank="1" showInputMessage="1" showErrorMessage="1" xr:uid="{17019F46-6FD0-4AB2-A646-25A0803CBF61}">
          <x14:formula1>
            <xm:f>'Tabla Valoración controles'!$D$9:$D$10</xm:f>
          </x14:formula1>
          <xm:sqref>AB37 AB46 AB50 AB58:AB64 AB26 AB67 AB15:AB19 AB39:AB44 AB52 AB35 AB23 AB54:AB55 AB32:AB33 AB28 AB30</xm:sqref>
        </x14:dataValidation>
        <x14:dataValidation type="list" allowBlank="1" showInputMessage="1" showErrorMessage="1" xr:uid="{AD7DDA99-987F-4C83-BA69-2819CB6B4C81}">
          <x14:formula1>
            <xm:f>'Tabla Valoración controles'!$D$11:$D$12</xm:f>
          </x14:formula1>
          <xm:sqref>AC37 AC46 AC50 AC58:AC64 AC26 AC67 AC15:AC19 AC39:AC44 AC52 AC35 AC23 AC54:AC55 AC32:AC33 AC28 AC30</xm:sqref>
        </x14:dataValidation>
        <x14:dataValidation type="list" allowBlank="1" showInputMessage="1" showErrorMessage="1" xr:uid="{696581BC-B0CF-40DA-896A-2DEA1964C87B}">
          <x14:formula1>
            <xm:f>'Opciones Tratamiento'!$B$9:$B$10</xm:f>
          </x14:formula1>
          <xm:sqref>AQ33:AQ40 AQ15:AQ16 AQ44:AQ53 AQ19:AQ29 AQ55:AQ57 AQ60:AQ67</xm:sqref>
        </x14:dataValidation>
        <x14:dataValidation type="list" allowBlank="1" showInputMessage="1" showErrorMessage="1" xr:uid="{56C2B003-EB3F-4007-AEDA-42B4A5B89C64}">
          <x14:formula1>
            <xm:f>'Tabla Valoración controles'!$D$13:$D$14</xm:f>
          </x14:formula1>
          <xm:sqref>AD37 AD46 AD50 AD58:AD64 AD26 AD67 AD15:AD19 AD39:AD44 AD52 AD35 AD23 AD54:AD55 AD32:AD33 AD28 AD30</xm:sqref>
        </x14:dataValidation>
        <x14:dataValidation type="list" allowBlank="1" showInputMessage="1" showErrorMessage="1" xr:uid="{AE01090C-1395-4923-A9BE-B09A3CB9242A}">
          <x14:formula1>
            <xm:f>'Opciones Tratamiento'!$B$13:$B$19</xm:f>
          </x14:formula1>
          <xm:sqref>M67 M46 M50 M52 M54:M55 M58 M60:M62 M64 M44 M15:M40</xm:sqref>
        </x14:dataValidation>
        <x14:dataValidation type="list" allowBlank="1" showInputMessage="1" showErrorMessage="1" xr:uid="{3AFDFDF4-5085-40E2-A8C8-AD52453C1BEC}">
          <x14:formula1>
            <xm:f>'Opciones Tratamiento'!$E$2:$E$4</xm:f>
          </x14:formula1>
          <xm:sqref>E67 E46 E50 E52 E54:E55 E58 E60:E62 E64 E44 E15:E40</xm:sqref>
        </x14:dataValidation>
        <x14:dataValidation type="list" allowBlank="1" showInputMessage="1" showErrorMessage="1" xr:uid="{8569BEE6-FB5A-48FF-9BCA-99238B3A0438}">
          <x14:formula1>
            <xm:f>'Opciones Tratamiento'!$B$2:$B$5</xm:f>
          </x14:formula1>
          <xm:sqref>AK26 AK46 AK50 AK33 AK37 AK67 AK35 AK39:AK40 AK30 AK52 AK44 AK23 AK54:AK55 AK19 AK28 AK15:AK17 AK58 AK60:AK62 AK64</xm:sqref>
        </x14:dataValidation>
        <x14:dataValidation type="list" allowBlank="1" showInputMessage="1" showErrorMessage="1" xr:uid="{2C2CDA35-B5E8-4913-B5CA-D3A573ED7B14}">
          <x14:formula1>
            <xm:f>'Tabla Impacto'!$F$210:$F$221</xm:f>
          </x14:formula1>
          <xm:sqref>Q46 Q15:Q17 Q50 Q19:Q26 Q54:Q62 Q44 Q28:Q40 Q52 Q64:Q69</xm:sqref>
        </x14:dataValidation>
        <x14:dataValidation type="custom" allowBlank="1" showInputMessage="1" showErrorMessage="1" error="Recuerde que las acciones se generan bajo la medida de mitigar el riesgo" xr:uid="{3459C4CC-3569-4AA0-9D9E-E7724BC60D05}">
          <x14:formula1>
            <xm:f>IF(OR(AK15='Opciones Tratamiento'!$B$2,AK15='Opciones Tratamiento'!$B$3,AK15='Opciones Tratamiento'!$B$4),ISBLANK(AK15),ISTEXT(AK15))</xm:f>
          </x14:formula1>
          <xm:sqref>AL33:AL34 AL67 AL15:AL17 AL19:AL30 AL55:AL58 AL60:AL64</xm:sqref>
        </x14:dataValidation>
        <x14:dataValidation type="custom" allowBlank="1" showInputMessage="1" showErrorMessage="1" error="Recuerde que las acciones se generan bajo la medida de mitigar el riesgo" xr:uid="{1A451193-F5C1-4AE5-B8A1-F0AE0C5B4576}">
          <x14:formula1>
            <xm:f>IF(OR(AK15='Opciones Tratamiento'!$B$2,AK15='Opciones Tratamiento'!$B$3,AK15='Opciones Tratamiento'!$B$4),ISBLANK(AK15),ISTEXT(AK15))</xm:f>
          </x14:formula1>
          <xm:sqref>AN17:AR17 AM19 AM23 AM26 AM28 AM15:AM17 AM33:AM34 AM30:AR30</xm:sqref>
        </x14:dataValidation>
        <x14:dataValidation type="custom" allowBlank="1" showInputMessage="1" showErrorMessage="1" error="Recuerde que las acciones se generan bajo la medida de mitigar el riesgo" xr:uid="{5B1C8F4F-CB9D-46B0-B92A-419AC330675A}">
          <x14:formula1>
            <xm:f>IF(OR(AK15='Opciones Tratamiento'!$B$2,AK15='Opciones Tratamiento'!$B$3,AK15='Opciones Tratamiento'!$B$4),ISBLANK(AK15),ISTEXT(AK15))</xm:f>
          </x14:formula1>
          <xm:sqref>AN55 AN33:AN34 AN15:AN16 AN19:AN29</xm:sqref>
        </x14:dataValidation>
        <x14:dataValidation type="custom" allowBlank="1" showInputMessage="1" showErrorMessage="1" error="Recuerde que las acciones se generan bajo la medida de mitigar el riesgo" xr:uid="{5B225D6E-5955-4C24-9A0B-57C2271178A4}">
          <x14:formula1>
            <xm:f>IF(OR(AK15='Opciones Tratamiento'!$B$2,AK15='Opciones Tratamiento'!$B$3,AK15='Opciones Tratamiento'!$B$4),ISBLANK(AK15),ISTEXT(AK15))</xm:f>
          </x14:formula1>
          <xm:sqref>AO33:AO40 AO44:AO50 AO15:AO16 AO19:AO29 AO55:AO57 AO60:AO67</xm:sqref>
        </x14:dataValidation>
        <x14:dataValidation type="custom" allowBlank="1" showInputMessage="1" showErrorMessage="1" error="Recuerde que las acciones se generan bajo la medida de mitigar el riesgo" xr:uid="{1E625CAE-167E-4B18-9523-EB571F4A11E8}">
          <x14:formula1>
            <xm:f>IF(OR(AK15='Opciones Tratamiento'!$B$2,AK15='Opciones Tratamiento'!$B$3,AK15='Opciones Tratamiento'!$B$4),ISBLANK(AK15),ISTEXT(AK15))</xm:f>
          </x14:formula1>
          <xm:sqref>AR50 AR60 AP15:AP16 AP33:AP40 AP44:AP50 AR15:AR16 AR33:AR40 AP19:AP29 AR19:AR29 AR55:AR57 AP55:AP57 AP60:AP67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R44" sqref="AR44"/>
    </sheetView>
  </sheetViews>
  <sheetFormatPr baseColWidth="10" defaultRowHeight="15" x14ac:dyDescent="0.25"/>
  <cols>
    <col min="2" max="13" width="5.7109375" customWidth="1"/>
    <col min="14" max="14" width="8" customWidth="1"/>
    <col min="15" max="15" width="11.140625" customWidth="1"/>
    <col min="16" max="18" width="5.7109375" customWidth="1"/>
    <col min="19" max="19" width="11.7109375" customWidth="1"/>
    <col min="20" max="20" width="7.140625" customWidth="1"/>
    <col min="21" max="21" width="22.28515625" customWidth="1"/>
    <col min="22" max="24" width="5.7109375" customWidth="1"/>
    <col min="25" max="25" width="10.28515625" customWidth="1"/>
    <col min="26" max="26" width="5.7109375" customWidth="1"/>
    <col min="27" max="27" width="9.140625" customWidth="1"/>
    <col min="28" max="32" width="5.7109375" customWidth="1"/>
    <col min="33" max="33" width="10.85546875" customWidth="1"/>
    <col min="34" max="36" width="5.7109375" customWidth="1"/>
    <col min="37" max="37" width="16" customWidth="1"/>
    <col min="38" max="38" width="5.7109375" customWidth="1"/>
    <col min="39" max="39" width="35.140625" customWidth="1"/>
    <col min="41" max="46" width="5.7109375" customWidth="1"/>
  </cols>
  <sheetData>
    <row r="1" spans="1:99" x14ac:dyDescent="0.2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row>
    <row r="2" spans="1:99" ht="18" customHeight="1" x14ac:dyDescent="0.25">
      <c r="A2" s="42"/>
      <c r="B2" s="528" t="s">
        <v>156</v>
      </c>
      <c r="C2" s="528"/>
      <c r="D2" s="528"/>
      <c r="E2" s="528"/>
      <c r="F2" s="528"/>
      <c r="G2" s="528"/>
      <c r="H2" s="528"/>
      <c r="I2" s="528"/>
      <c r="J2" s="470" t="s">
        <v>2</v>
      </c>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row>
    <row r="3" spans="1:99" ht="18.75" customHeight="1" x14ac:dyDescent="0.25">
      <c r="A3" s="42"/>
      <c r="B3" s="528"/>
      <c r="C3" s="528"/>
      <c r="D3" s="528"/>
      <c r="E3" s="528"/>
      <c r="F3" s="528"/>
      <c r="G3" s="528"/>
      <c r="H3" s="528"/>
      <c r="I3" s="528"/>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row>
    <row r="4" spans="1:99" ht="15" customHeight="1" x14ac:dyDescent="0.25">
      <c r="A4" s="42"/>
      <c r="B4" s="528"/>
      <c r="C4" s="528"/>
      <c r="D4" s="528"/>
      <c r="E4" s="528"/>
      <c r="F4" s="528"/>
      <c r="G4" s="528"/>
      <c r="H4" s="528"/>
      <c r="I4" s="528"/>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row>
    <row r="5" spans="1:99" ht="15.75" thickBot="1" x14ac:dyDescent="0.3">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row>
    <row r="6" spans="1:99" ht="15" customHeight="1" x14ac:dyDescent="0.25">
      <c r="A6" s="42"/>
      <c r="B6" s="416" t="s">
        <v>4</v>
      </c>
      <c r="C6" s="416"/>
      <c r="D6" s="417"/>
      <c r="E6" s="454" t="s">
        <v>114</v>
      </c>
      <c r="F6" s="455"/>
      <c r="G6" s="455"/>
      <c r="H6" s="455"/>
      <c r="I6" s="456"/>
      <c r="J6" s="466" t="str">
        <f>IF(AND('Mapa final'!$O$15="Muy Alta",'Mapa final'!$S$15="Leve"),CONCATENATE("R",'Mapa final'!$A$15),"")</f>
        <v/>
      </c>
      <c r="K6" s="467"/>
      <c r="L6" s="467"/>
      <c r="M6" s="467"/>
      <c r="N6" s="467" t="str">
        <f>IF(AND('Mapa final'!$O$16="Muy Alta",'Mapa final'!$S$16="Leve"),CONCATENATE("R",'Mapa final'!$A$16),"")</f>
        <v/>
      </c>
      <c r="O6" s="469"/>
      <c r="P6" s="466" t="str">
        <f>IF(AND('Mapa final'!$O$15="Muy Alta",'Mapa final'!$S$15="Menor"),CONCATENATE("R",'Mapa final'!$A$15),"")</f>
        <v/>
      </c>
      <c r="Q6" s="467"/>
      <c r="R6" s="467"/>
      <c r="S6" s="467"/>
      <c r="T6" s="467" t="str">
        <f>IF(AND('Mapa final'!$O$16="Muy Alta",'Mapa final'!$S$16="Menor"),CONCATENATE("R",'Mapa final'!$A$16),"")</f>
        <v/>
      </c>
      <c r="U6" s="469"/>
      <c r="V6" s="466" t="str">
        <f>IF(AND('Mapa final'!$O$15="Muy Alta",'Mapa final'!$S$15="Moderado"),CONCATENATE("R",'Mapa final'!$A$15),"")</f>
        <v/>
      </c>
      <c r="W6" s="467"/>
      <c r="X6" s="467"/>
      <c r="Y6" s="467"/>
      <c r="Z6" s="467" t="str">
        <f>IF(AND('Mapa final'!$O$16="Muy Alta",'Mapa final'!$S$16="Moderado"),CONCATENATE("R",'Mapa final'!$A$16),"")</f>
        <v/>
      </c>
      <c r="AA6" s="469"/>
      <c r="AB6" s="466" t="str">
        <f>IF(AND('Mapa final'!$O$15="Muy Alta",'Mapa final'!$S$15="Mayor"),CONCATENATE("R",'Mapa final'!$A$15),"")</f>
        <v/>
      </c>
      <c r="AC6" s="467"/>
      <c r="AD6" s="467"/>
      <c r="AE6" s="467"/>
      <c r="AF6" s="467" t="str">
        <f>IF(AND('Mapa final'!$O$16="Muy Alta",'Mapa final'!$S$16="Mayor"),CONCATENATE("R",'Mapa final'!$A$16),"")</f>
        <v/>
      </c>
      <c r="AG6" s="469"/>
      <c r="AH6" s="489" t="str">
        <f>IF(AND('Mapa final'!$O$15="Muy Alta",'Mapa final'!$S$15="Catastrófico"),CONCATENATE("R",'Mapa final'!$A$15),"")</f>
        <v/>
      </c>
      <c r="AI6" s="490"/>
      <c r="AJ6" s="490"/>
      <c r="AK6" s="490"/>
      <c r="AL6" s="490" t="str">
        <f>IF(AND('Mapa final'!$O$16="Muy Alta",'Mapa final'!$S$16="Catastrófico"),CONCATENATE("R",'Mapa final'!$A$16),"")</f>
        <v/>
      </c>
      <c r="AM6" s="491"/>
      <c r="AO6" s="418" t="s">
        <v>77</v>
      </c>
      <c r="AP6" s="419"/>
      <c r="AQ6" s="419"/>
      <c r="AR6" s="419"/>
      <c r="AS6" s="419"/>
      <c r="AT6" s="420"/>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row>
    <row r="7" spans="1:99" ht="15" customHeight="1" x14ac:dyDescent="0.25">
      <c r="A7" s="42"/>
      <c r="B7" s="416"/>
      <c r="C7" s="416"/>
      <c r="D7" s="417"/>
      <c r="E7" s="457"/>
      <c r="F7" s="458"/>
      <c r="G7" s="458"/>
      <c r="H7" s="458"/>
      <c r="I7" s="459"/>
      <c r="J7" s="468"/>
      <c r="K7" s="465"/>
      <c r="L7" s="465"/>
      <c r="M7" s="465"/>
      <c r="N7" s="465"/>
      <c r="O7" s="464"/>
      <c r="P7" s="468"/>
      <c r="Q7" s="465"/>
      <c r="R7" s="465"/>
      <c r="S7" s="465"/>
      <c r="T7" s="465"/>
      <c r="U7" s="464"/>
      <c r="V7" s="468"/>
      <c r="W7" s="465"/>
      <c r="X7" s="465"/>
      <c r="Y7" s="465"/>
      <c r="Z7" s="465"/>
      <c r="AA7" s="464"/>
      <c r="AB7" s="468"/>
      <c r="AC7" s="465"/>
      <c r="AD7" s="465"/>
      <c r="AE7" s="465"/>
      <c r="AF7" s="465"/>
      <c r="AG7" s="464"/>
      <c r="AH7" s="483"/>
      <c r="AI7" s="484"/>
      <c r="AJ7" s="484"/>
      <c r="AK7" s="484"/>
      <c r="AL7" s="484"/>
      <c r="AM7" s="485"/>
      <c r="AN7" s="42"/>
      <c r="AO7" s="421"/>
      <c r="AP7" s="422"/>
      <c r="AQ7" s="422"/>
      <c r="AR7" s="422"/>
      <c r="AS7" s="422"/>
      <c r="AT7" s="423"/>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row>
    <row r="8" spans="1:99" ht="15" customHeight="1" x14ac:dyDescent="0.25">
      <c r="A8" s="42"/>
      <c r="B8" s="416"/>
      <c r="C8" s="416"/>
      <c r="D8" s="417"/>
      <c r="E8" s="457"/>
      <c r="F8" s="458"/>
      <c r="G8" s="458"/>
      <c r="H8" s="458"/>
      <c r="I8" s="459"/>
      <c r="J8" s="468" t="str">
        <f>IF(AND('Mapa final'!$O$17="Muy Alta",'Mapa final'!$S$17="Leve"),CONCATENATE("R",'Mapa final'!$A$17),"")</f>
        <v/>
      </c>
      <c r="K8" s="465"/>
      <c r="L8" s="463" t="str">
        <f>IF(AND('Mapa final'!$O$19="Muy Alta",'Mapa final'!$S$19="Leve"),CONCATENATE("R",'Mapa final'!$A$19),"")</f>
        <v/>
      </c>
      <c r="M8" s="463"/>
      <c r="N8" s="463" t="str">
        <f>IF(AND('Mapa final'!$O$23="Muy Alta",'Mapa final'!$S$23="Leve"),CONCATENATE("R",'Mapa final'!$A$23),"")</f>
        <v/>
      </c>
      <c r="O8" s="464"/>
      <c r="P8" s="468" t="str">
        <f>IF(AND('Mapa final'!$O$17="Muy Alta",'Mapa final'!$S$17="Menor"),CONCATENATE("R",'Mapa final'!$A$17),"")</f>
        <v/>
      </c>
      <c r="Q8" s="465"/>
      <c r="R8" s="463" t="str">
        <f>IF(AND('Mapa final'!$O$19="Muy Alta",'Mapa final'!$S$19="Menor"),CONCATENATE("R",'Mapa final'!$A$19),"")</f>
        <v/>
      </c>
      <c r="S8" s="463"/>
      <c r="T8" s="463" t="str">
        <f>IF(AND('Mapa final'!$O$23="Muy Alta",'Mapa final'!$S$23="Menor"),CONCATENATE("R",'Mapa final'!$A$23),"")</f>
        <v/>
      </c>
      <c r="U8" s="464"/>
      <c r="V8" s="468" t="str">
        <f>IF(AND('Mapa final'!$O$17="Muy Alta",'Mapa final'!$S$17="Moderado"),CONCATENATE("R",'Mapa final'!$A$17),"")</f>
        <v/>
      </c>
      <c r="W8" s="465"/>
      <c r="X8" s="463" t="str">
        <f>IF(AND('Mapa final'!$O$19="Muy Alta",'Mapa final'!$S$19="Moderado"),CONCATENATE("R",'Mapa final'!$A$19),"")</f>
        <v/>
      </c>
      <c r="Y8" s="463"/>
      <c r="Z8" s="463" t="str">
        <f>IF(AND('Mapa final'!$O$23="Muy Alta",'Mapa final'!$S$23="Moderado"),CONCATENATE("R",'Mapa final'!$A$23),"")</f>
        <v/>
      </c>
      <c r="AA8" s="464"/>
      <c r="AB8" s="468" t="str">
        <f>IF(AND('Mapa final'!$O$17="Muy Alta",'Mapa final'!$S$17="Mayor"),CONCATENATE("R",'Mapa final'!$A$17),"")</f>
        <v/>
      </c>
      <c r="AC8" s="465"/>
      <c r="AD8" s="463" t="str">
        <f>IF(AND('Mapa final'!$O$19="Muy Alta",'Mapa final'!$S$19="Mayor"),CONCATENATE("R",'Mapa final'!$A$19),"")</f>
        <v/>
      </c>
      <c r="AE8" s="463"/>
      <c r="AF8" s="463" t="str">
        <f>IF(AND('Mapa final'!$O$23="Muy Alta",'Mapa final'!$S$23="Mayor"),CONCATENATE("R",'Mapa final'!$A$23),"")</f>
        <v/>
      </c>
      <c r="AG8" s="464"/>
      <c r="AH8" s="483" t="str">
        <f>IF(AND('Mapa final'!$O$17="Muy Alta",'Mapa final'!$S$17="Catastrófico"),CONCATENATE("R",'Mapa final'!$A$17),"")</f>
        <v/>
      </c>
      <c r="AI8" s="484"/>
      <c r="AJ8" s="484" t="str">
        <f>IF(AND('Mapa final'!$O$19="Muy Alta",'Mapa final'!$S$19="Catastrófico"),CONCATENATE("R",'Mapa final'!$A$19),"")</f>
        <v/>
      </c>
      <c r="AK8" s="484"/>
      <c r="AL8" s="484" t="str">
        <f>IF(AND('Mapa final'!$O$23="Muy Alta",'Mapa final'!$S$23="Catastrófico"),CONCATENATE("R",'Mapa final'!$A$23),"")</f>
        <v/>
      </c>
      <c r="AM8" s="485"/>
      <c r="AN8" s="42"/>
      <c r="AO8" s="421"/>
      <c r="AP8" s="422"/>
      <c r="AQ8" s="422"/>
      <c r="AR8" s="422"/>
      <c r="AS8" s="422"/>
      <c r="AT8" s="423"/>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row>
    <row r="9" spans="1:99" ht="15" customHeight="1" x14ac:dyDescent="0.25">
      <c r="A9" s="42"/>
      <c r="B9" s="416"/>
      <c r="C9" s="416"/>
      <c r="D9" s="417"/>
      <c r="E9" s="457"/>
      <c r="F9" s="458"/>
      <c r="G9" s="458"/>
      <c r="H9" s="458"/>
      <c r="I9" s="459"/>
      <c r="J9" s="468"/>
      <c r="K9" s="465"/>
      <c r="L9" s="463"/>
      <c r="M9" s="463"/>
      <c r="N9" s="463"/>
      <c r="O9" s="464"/>
      <c r="P9" s="468"/>
      <c r="Q9" s="465"/>
      <c r="R9" s="463"/>
      <c r="S9" s="463"/>
      <c r="T9" s="463"/>
      <c r="U9" s="464"/>
      <c r="V9" s="468"/>
      <c r="W9" s="465"/>
      <c r="X9" s="463"/>
      <c r="Y9" s="463"/>
      <c r="Z9" s="463"/>
      <c r="AA9" s="464"/>
      <c r="AB9" s="468"/>
      <c r="AC9" s="465"/>
      <c r="AD9" s="463"/>
      <c r="AE9" s="463"/>
      <c r="AF9" s="463"/>
      <c r="AG9" s="464"/>
      <c r="AH9" s="483"/>
      <c r="AI9" s="484"/>
      <c r="AJ9" s="484"/>
      <c r="AK9" s="484"/>
      <c r="AL9" s="484"/>
      <c r="AM9" s="485"/>
      <c r="AN9" s="42"/>
      <c r="AO9" s="421"/>
      <c r="AP9" s="422"/>
      <c r="AQ9" s="422"/>
      <c r="AR9" s="422"/>
      <c r="AS9" s="422"/>
      <c r="AT9" s="423"/>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row>
    <row r="10" spans="1:99" ht="15" customHeight="1" x14ac:dyDescent="0.25">
      <c r="A10" s="42"/>
      <c r="B10" s="416"/>
      <c r="C10" s="416"/>
      <c r="D10" s="417"/>
      <c r="E10" s="457"/>
      <c r="F10" s="458"/>
      <c r="G10" s="458"/>
      <c r="H10" s="458"/>
      <c r="I10" s="459"/>
      <c r="J10" s="468" t="str">
        <f>IF(AND('Mapa final'!$O$26="Muy Alta",'Mapa final'!$S$26="Leve"),CONCATENATE("R",'Mapa final'!$A$26),"")</f>
        <v/>
      </c>
      <c r="K10" s="465"/>
      <c r="L10" s="463" t="str">
        <f>IF(AND('Mapa final'!$O$28="Muy Alta",'Mapa final'!$S$28="Leve"),CONCATENATE("R",'Mapa final'!$A$28),"")</f>
        <v/>
      </c>
      <c r="M10" s="463"/>
      <c r="N10" s="463" t="str">
        <f>IF(AND('Mapa final'!$O$30="Muy Alta",'Mapa final'!$S$30="Leve"),CONCATENATE("R",'Mapa final'!$A$30),"")</f>
        <v/>
      </c>
      <c r="O10" s="464"/>
      <c r="P10" s="468" t="str">
        <f>IF(AND('Mapa final'!$O$26="Muy Alta",'Mapa final'!$S$26="Menor"),CONCATENATE("R",'Mapa final'!$A$26),"")</f>
        <v/>
      </c>
      <c r="Q10" s="465"/>
      <c r="R10" s="463" t="str">
        <f>IF(AND('Mapa final'!$O$28="Muy Alta",'Mapa final'!$S$28="Menor"),CONCATENATE("R",'Mapa final'!$A$28),"")</f>
        <v/>
      </c>
      <c r="S10" s="463"/>
      <c r="T10" s="463" t="str">
        <f>IF(AND('Mapa final'!$O$30="Muy Alta",'Mapa final'!$S$30="Menor"),CONCATENATE("R",'Mapa final'!$A$30),"")</f>
        <v/>
      </c>
      <c r="U10" s="464"/>
      <c r="V10" s="468" t="str">
        <f>IF(AND('Mapa final'!$O$26="Muy Alta",'Mapa final'!$S$26="Moderado"),CONCATENATE("R",'Mapa final'!$A$26),"")</f>
        <v/>
      </c>
      <c r="W10" s="465"/>
      <c r="X10" s="463" t="str">
        <f>IF(AND('Mapa final'!$O$28="Muy Alta",'Mapa final'!$S$28="Moderado"),CONCATENATE("R",'Mapa final'!$A$28),"")</f>
        <v/>
      </c>
      <c r="Y10" s="463"/>
      <c r="Z10" s="463" t="str">
        <f>IF(AND('Mapa final'!$O$30="Muy Alta",'Mapa final'!$S$30="Moderado"),CONCATENATE("R",'Mapa final'!$A$30),"")</f>
        <v/>
      </c>
      <c r="AA10" s="464"/>
      <c r="AB10" s="468" t="str">
        <f>IF(AND('Mapa final'!$O$26="Muy Alta",'Mapa final'!$S$26="Mayor"),CONCATENATE("R",'Mapa final'!$A$26),"")</f>
        <v/>
      </c>
      <c r="AC10" s="465"/>
      <c r="AD10" s="463" t="str">
        <f>IF(AND('Mapa final'!$O$28="Muy Alta",'Mapa final'!$S$28="Mayor"),CONCATENATE("R",'Mapa final'!$A$28),"")</f>
        <v/>
      </c>
      <c r="AE10" s="463"/>
      <c r="AF10" s="463" t="str">
        <f>IF(AND('Mapa final'!$O$30="Muy Alta",'Mapa final'!$S$30="Mayor"),CONCATENATE("R",'Mapa final'!$A$30),"")</f>
        <v/>
      </c>
      <c r="AG10" s="464"/>
      <c r="AH10" s="483" t="str">
        <f>IF(AND('Mapa final'!$O$26="Muy Alta",'Mapa final'!$S$26="Catastrófico"),CONCATENATE("R",'Mapa final'!$A$26),"")</f>
        <v/>
      </c>
      <c r="AI10" s="484"/>
      <c r="AJ10" s="484" t="str">
        <f>IF(AND('Mapa final'!$O$28="Muy Alta",'Mapa final'!$S$28="Catastrófico"),CONCATENATE("R",'Mapa final'!$A$28),"")</f>
        <v/>
      </c>
      <c r="AK10" s="484"/>
      <c r="AL10" s="484" t="str">
        <f>IF(AND('Mapa final'!$O$30="Muy Alta",'Mapa final'!$S$30="Catastrófico"),CONCATENATE("R",'Mapa final'!$A$30),"")</f>
        <v/>
      </c>
      <c r="AM10" s="485"/>
      <c r="AN10" s="42"/>
      <c r="AO10" s="421"/>
      <c r="AP10" s="422"/>
      <c r="AQ10" s="422"/>
      <c r="AR10" s="422"/>
      <c r="AS10" s="422"/>
      <c r="AT10" s="423"/>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row>
    <row r="11" spans="1:99" ht="15" customHeight="1" x14ac:dyDescent="0.25">
      <c r="A11" s="42"/>
      <c r="B11" s="416"/>
      <c r="C11" s="416"/>
      <c r="D11" s="417"/>
      <c r="E11" s="457"/>
      <c r="F11" s="458"/>
      <c r="G11" s="458"/>
      <c r="H11" s="458"/>
      <c r="I11" s="459"/>
      <c r="J11" s="468"/>
      <c r="K11" s="465"/>
      <c r="L11" s="463"/>
      <c r="M11" s="463"/>
      <c r="N11" s="463"/>
      <c r="O11" s="464"/>
      <c r="P11" s="468"/>
      <c r="Q11" s="465"/>
      <c r="R11" s="463"/>
      <c r="S11" s="463"/>
      <c r="T11" s="463"/>
      <c r="U11" s="464"/>
      <c r="V11" s="468"/>
      <c r="W11" s="465"/>
      <c r="X11" s="463"/>
      <c r="Y11" s="463"/>
      <c r="Z11" s="463"/>
      <c r="AA11" s="464"/>
      <c r="AB11" s="468"/>
      <c r="AC11" s="465"/>
      <c r="AD11" s="463"/>
      <c r="AE11" s="463"/>
      <c r="AF11" s="463"/>
      <c r="AG11" s="464"/>
      <c r="AH11" s="483"/>
      <c r="AI11" s="484"/>
      <c r="AJ11" s="484"/>
      <c r="AK11" s="484"/>
      <c r="AL11" s="484"/>
      <c r="AM11" s="485"/>
      <c r="AN11" s="42"/>
      <c r="AO11" s="421"/>
      <c r="AP11" s="422"/>
      <c r="AQ11" s="422"/>
      <c r="AR11" s="422"/>
      <c r="AS11" s="422"/>
      <c r="AT11" s="423"/>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row>
    <row r="12" spans="1:99" ht="15" customHeight="1" x14ac:dyDescent="0.25">
      <c r="A12" s="42"/>
      <c r="B12" s="416"/>
      <c r="C12" s="416"/>
      <c r="D12" s="417"/>
      <c r="E12" s="457"/>
      <c r="F12" s="458"/>
      <c r="G12" s="458"/>
      <c r="H12" s="458"/>
      <c r="I12" s="459"/>
      <c r="J12" s="468" t="str">
        <f>IF(AND('Mapa final'!$O$33="Muy Alta",'Mapa final'!$S$33="Leve"),CONCATENATE("R",'Mapa final'!$A$33),"")</f>
        <v/>
      </c>
      <c r="K12" s="465"/>
      <c r="L12" s="463" t="str">
        <f>IF(AND('Mapa final'!$O$35="Muy Alta",'Mapa final'!$S$35="Leve"),CONCATENATE("R",'Mapa final'!$A$35),"")</f>
        <v/>
      </c>
      <c r="M12" s="463"/>
      <c r="N12" s="463" t="str">
        <f>IF(AND('Mapa final'!$O$35="Muy Alta",'Mapa final'!$S$35="Leve"),CONCATENATE("R",'Mapa final'!$A$35),"")</f>
        <v/>
      </c>
      <c r="O12" s="463"/>
      <c r="P12" s="468" t="str">
        <f>IF(AND('Mapa final'!$O$33="Muy Alta",'Mapa final'!$S$33="Menor"),CONCATENATE("R",'Mapa final'!$A$33),"")</f>
        <v/>
      </c>
      <c r="Q12" s="465"/>
      <c r="R12" s="463" t="str">
        <f>IF(AND('Mapa final'!$O$35="Muy Alta",'Mapa final'!$S$35="Menor"),CONCATENATE("R",'Mapa final'!$A$35),"")</f>
        <v/>
      </c>
      <c r="S12" s="463"/>
      <c r="T12" s="463"/>
      <c r="U12" s="464"/>
      <c r="V12" s="468" t="str">
        <f>IF(AND('Mapa final'!$O$33="Muy Alta",'Mapa final'!$S$33="Moderado"),CONCATENATE("R",'Mapa final'!$A$33),"")</f>
        <v/>
      </c>
      <c r="W12" s="465"/>
      <c r="X12" s="463" t="str">
        <f>IF(AND('Mapa final'!$O$35="Muy Alta",'Mapa final'!$S$35="Moderado"),CONCATENATE("R",'Mapa final'!$A$35),"")</f>
        <v/>
      </c>
      <c r="Y12" s="463"/>
      <c r="Z12" s="463"/>
      <c r="AA12" s="464"/>
      <c r="AB12" s="468" t="str">
        <f>IF(AND('Mapa final'!$O$33="Muy Alta",'Mapa final'!$S$33="Mayor"),CONCATENATE("R",'Mapa final'!$A$33),"")</f>
        <v/>
      </c>
      <c r="AC12" s="465"/>
      <c r="AD12" s="463" t="str">
        <f>IF(AND('Mapa final'!$O$35="Muy Alta",'Mapa final'!$S$35="Mayor"),CONCATENATE("R",'Mapa final'!$A$35),"")</f>
        <v/>
      </c>
      <c r="AE12" s="463"/>
      <c r="AF12" s="463" t="str">
        <f>IF(AND('Mapa final'!$O$40="Muy Alta",'Mapa final'!$S$40="Mayor"),CONCATENATE("R",'Mapa final'!$A$40),"")</f>
        <v>RG13</v>
      </c>
      <c r="AG12" s="463"/>
      <c r="AH12" s="483" t="str">
        <f>IF(AND('Mapa final'!$O$33="Muy Alta",'Mapa final'!$S$33="Catastrófico"),CONCATENATE("R",'Mapa final'!$A$33),"")</f>
        <v/>
      </c>
      <c r="AI12" s="484"/>
      <c r="AJ12" s="484" t="str">
        <f>IF(AND('Mapa final'!$O$35="Muy Alta",'Mapa final'!$S$35="Catastrófico"),CONCATENATE("R",'Mapa final'!$A$35),"")</f>
        <v/>
      </c>
      <c r="AK12" s="484"/>
      <c r="AL12" s="484"/>
      <c r="AM12" s="485"/>
      <c r="AN12" s="42"/>
      <c r="AO12" s="421"/>
      <c r="AP12" s="422"/>
      <c r="AQ12" s="422"/>
      <c r="AR12" s="422"/>
      <c r="AS12" s="422"/>
      <c r="AT12" s="423"/>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row>
    <row r="13" spans="1:99" ht="15.75" customHeight="1" thickBot="1" x14ac:dyDescent="0.3">
      <c r="A13" s="42"/>
      <c r="B13" s="416"/>
      <c r="C13" s="416"/>
      <c r="D13" s="417"/>
      <c r="E13" s="460"/>
      <c r="F13" s="461"/>
      <c r="G13" s="461"/>
      <c r="H13" s="461"/>
      <c r="I13" s="462"/>
      <c r="J13" s="468"/>
      <c r="K13" s="465"/>
      <c r="L13" s="465"/>
      <c r="M13" s="465"/>
      <c r="N13" s="465"/>
      <c r="O13" s="465"/>
      <c r="P13" s="468"/>
      <c r="Q13" s="465"/>
      <c r="R13" s="465"/>
      <c r="S13" s="465"/>
      <c r="T13" s="465"/>
      <c r="U13" s="464"/>
      <c r="V13" s="468"/>
      <c r="W13" s="465"/>
      <c r="X13" s="465"/>
      <c r="Y13" s="465"/>
      <c r="Z13" s="465"/>
      <c r="AA13" s="464"/>
      <c r="AB13" s="468"/>
      <c r="AC13" s="465"/>
      <c r="AD13" s="465"/>
      <c r="AE13" s="465"/>
      <c r="AF13" s="465"/>
      <c r="AG13" s="465"/>
      <c r="AH13" s="486"/>
      <c r="AI13" s="487"/>
      <c r="AJ13" s="487"/>
      <c r="AK13" s="487"/>
      <c r="AL13" s="487"/>
      <c r="AM13" s="488"/>
      <c r="AN13" s="42"/>
      <c r="AO13" s="424"/>
      <c r="AP13" s="425"/>
      <c r="AQ13" s="425"/>
      <c r="AR13" s="425"/>
      <c r="AS13" s="425"/>
      <c r="AT13" s="426"/>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row>
    <row r="14" spans="1:99" ht="15" customHeight="1" x14ac:dyDescent="0.25">
      <c r="A14" s="42"/>
      <c r="B14" s="416"/>
      <c r="C14" s="416"/>
      <c r="D14" s="417"/>
      <c r="E14" s="454" t="s">
        <v>113</v>
      </c>
      <c r="F14" s="455"/>
      <c r="G14" s="455"/>
      <c r="H14" s="455"/>
      <c r="I14" s="455"/>
      <c r="J14" s="509" t="str">
        <f>IF(AND('Mapa final'!$O$15="Alta",'Mapa final'!$S$15="Leve"),CONCATENATE("R",'Mapa final'!$A$15),"")</f>
        <v/>
      </c>
      <c r="K14" s="510"/>
      <c r="L14" s="511"/>
      <c r="M14" s="511"/>
      <c r="N14" s="511" t="str">
        <f>IF(AND('Mapa final'!$O$16="Alta",'Mapa final'!$S$16="Leve"),CONCATENATE("R",'Mapa final'!$A$16),"")</f>
        <v/>
      </c>
      <c r="O14" s="512"/>
      <c r="P14" s="515" t="str">
        <f>IF(AND('Mapa final'!$O$15="Alta",'Mapa final'!$S$15="Menor"),CONCATENATE("R",'Mapa final'!$A$15),"")</f>
        <v/>
      </c>
      <c r="Q14" s="511"/>
      <c r="R14" s="511"/>
      <c r="S14" s="511"/>
      <c r="T14" s="511" t="str">
        <f>IF(AND('Mapa final'!$O$16="Alta",'Mapa final'!$S$16="Menor"),CONCATENATE("R",'Mapa final'!$A$16),"")</f>
        <v/>
      </c>
      <c r="U14" s="512"/>
      <c r="V14" s="473" t="str">
        <f>IF(AND('Mapa final'!$O$15="Alta",'Mapa final'!$S$15="Moderado"),CONCATENATE("R",'Mapa final'!$A$15),"")</f>
        <v/>
      </c>
      <c r="W14" s="474"/>
      <c r="X14" s="474"/>
      <c r="Y14" s="474"/>
      <c r="Z14" s="474" t="str">
        <f>IF(AND('Mapa final'!$O$16="Alta",'Mapa final'!$S$16="Moderado"),CONCATENATE("R",'Mapa final'!$A$16),"")</f>
        <v/>
      </c>
      <c r="AA14" s="477"/>
      <c r="AB14" s="473" t="str">
        <f>IF(AND('Mapa final'!$O$15="Alta",'Mapa final'!$S$15="Mayor"),CONCATENATE("R",'Mapa final'!$A$15),"")</f>
        <v/>
      </c>
      <c r="AC14" s="474"/>
      <c r="AD14" s="474"/>
      <c r="AE14" s="474"/>
      <c r="AF14" s="474" t="str">
        <f>IF(AND('Mapa final'!$O$16="Alta",'Mapa final'!$S$16="Mayor"),CONCATENATE("R",'Mapa final'!$A$16),"")</f>
        <v/>
      </c>
      <c r="AG14" s="477"/>
      <c r="AH14" s="489" t="str">
        <f>IF(AND('Mapa final'!$O$15="Alta",'Mapa final'!$S$15="Catastrófico"),CONCATENATE("R",'Mapa final'!$A$15),"")</f>
        <v/>
      </c>
      <c r="AI14" s="490"/>
      <c r="AJ14" s="490"/>
      <c r="AK14" s="490"/>
      <c r="AL14" s="490" t="str">
        <f>IF(AND('Mapa final'!$O$16="Alta",'Mapa final'!$S$16="Catastrófico"),CONCATENATE("R",'Mapa final'!$A$16),"")</f>
        <v/>
      </c>
      <c r="AM14" s="491"/>
      <c r="AN14" s="42"/>
      <c r="AO14" s="427" t="s">
        <v>78</v>
      </c>
      <c r="AP14" s="428"/>
      <c r="AQ14" s="428"/>
      <c r="AR14" s="428"/>
      <c r="AS14" s="428"/>
      <c r="AT14" s="429"/>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row>
    <row r="15" spans="1:99" ht="15" customHeight="1" x14ac:dyDescent="0.25">
      <c r="A15" s="42"/>
      <c r="B15" s="416"/>
      <c r="C15" s="416"/>
      <c r="D15" s="417"/>
      <c r="E15" s="457"/>
      <c r="F15" s="458"/>
      <c r="G15" s="458"/>
      <c r="H15" s="458"/>
      <c r="I15" s="471"/>
      <c r="J15" s="501"/>
      <c r="K15" s="502"/>
      <c r="L15" s="503"/>
      <c r="M15" s="503"/>
      <c r="N15" s="503"/>
      <c r="O15" s="504"/>
      <c r="P15" s="513"/>
      <c r="Q15" s="503"/>
      <c r="R15" s="503"/>
      <c r="S15" s="503"/>
      <c r="T15" s="503"/>
      <c r="U15" s="504"/>
      <c r="V15" s="475"/>
      <c r="W15" s="476"/>
      <c r="X15" s="476"/>
      <c r="Y15" s="476"/>
      <c r="Z15" s="476"/>
      <c r="AA15" s="478"/>
      <c r="AB15" s="475"/>
      <c r="AC15" s="476"/>
      <c r="AD15" s="476"/>
      <c r="AE15" s="476"/>
      <c r="AF15" s="476"/>
      <c r="AG15" s="478"/>
      <c r="AH15" s="483"/>
      <c r="AI15" s="484"/>
      <c r="AJ15" s="484"/>
      <c r="AK15" s="484"/>
      <c r="AL15" s="484"/>
      <c r="AM15" s="485"/>
      <c r="AN15" s="42"/>
      <c r="AO15" s="430"/>
      <c r="AP15" s="431"/>
      <c r="AQ15" s="431"/>
      <c r="AR15" s="431"/>
      <c r="AS15" s="431"/>
      <c r="AT15" s="43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row>
    <row r="16" spans="1:99" ht="15" customHeight="1" x14ac:dyDescent="0.25">
      <c r="A16" s="42"/>
      <c r="B16" s="416"/>
      <c r="C16" s="416"/>
      <c r="D16" s="417"/>
      <c r="E16" s="457"/>
      <c r="F16" s="458"/>
      <c r="G16" s="458"/>
      <c r="H16" s="458"/>
      <c r="I16" s="471"/>
      <c r="J16" s="501" t="str">
        <f>IF(AND('Mapa final'!$O$17="Alta",'Mapa final'!$S$17="Leve"),CONCATENATE("R",'Mapa final'!$A$17),"")</f>
        <v/>
      </c>
      <c r="K16" s="502"/>
      <c r="L16" s="503" t="str">
        <f>IF(AND('Mapa final'!$O$19="Alta",'Mapa final'!$S$19="Leve"),CONCATENATE("R",'Mapa final'!$A$19),"")</f>
        <v/>
      </c>
      <c r="M16" s="503"/>
      <c r="N16" s="503" t="str">
        <f>IF(AND('Mapa final'!$O$23="Alta",'Mapa final'!$S$23="Leve"),CONCATENATE("R",'Mapa final'!$A$23),"")</f>
        <v/>
      </c>
      <c r="O16" s="504"/>
      <c r="P16" s="513" t="str">
        <f>IF(AND('Mapa final'!$O$17="Alta",'Mapa final'!$S$17="Menor"),CONCATENATE("R",'Mapa final'!$A$17),"")</f>
        <v/>
      </c>
      <c r="Q16" s="503"/>
      <c r="R16" s="503" t="str">
        <f>IF(AND('Mapa final'!$O$19="Alta",'Mapa final'!$S$19="Menor"),CONCATENATE("R",'Mapa final'!$A$19),"")</f>
        <v/>
      </c>
      <c r="S16" s="503"/>
      <c r="T16" s="503" t="str">
        <f>IF(AND('Mapa final'!$O$23="Alta",'Mapa final'!$S$23="Menor"),CONCATENATE("R",'Mapa final'!$A$23),"")</f>
        <v/>
      </c>
      <c r="U16" s="504"/>
      <c r="V16" s="475" t="str">
        <f>IF(AND('Mapa final'!$O$17="Alta",'Mapa final'!$S$17="Moderado"),CONCATENATE("R",'Mapa final'!$A$17),"")</f>
        <v/>
      </c>
      <c r="W16" s="476"/>
      <c r="X16" s="479" t="str">
        <f>IF(AND('Mapa final'!$O$19="Alta",'Mapa final'!$S$19="Moderado"),CONCATENATE("R",'Mapa final'!$A$19),"")</f>
        <v/>
      </c>
      <c r="Y16" s="479"/>
      <c r="Z16" s="479" t="str">
        <f>IF(AND('Mapa final'!$O$23="Alta",'Mapa final'!$S$23="Moderado"),CONCATENATE("R",'Mapa final'!$A$23),"")</f>
        <v/>
      </c>
      <c r="AA16" s="478"/>
      <c r="AB16" s="475" t="str">
        <f>IF(AND('Mapa final'!$O$17="Alta",'Mapa final'!$S$17="Mayor"),CONCATENATE("R",'Mapa final'!$A$17),"")</f>
        <v/>
      </c>
      <c r="AC16" s="476"/>
      <c r="AD16" s="479" t="str">
        <f>IF(AND('Mapa final'!$O$19="Alta",'Mapa final'!$S$19="Mayor"),CONCATENATE("R",'Mapa final'!$A$19),"")</f>
        <v/>
      </c>
      <c r="AE16" s="479"/>
      <c r="AF16" s="479" t="str">
        <f>IF(AND('Mapa final'!$O$23="Alta",'Mapa final'!$S$23="Mayor"),CONCATENATE("R",'Mapa final'!$A$23),"")</f>
        <v/>
      </c>
      <c r="AG16" s="478"/>
      <c r="AH16" s="483" t="str">
        <f>IF(AND('Mapa final'!$O$17="Alta",'Mapa final'!$S$17="Catastrófico"),CONCATENATE("R",'Mapa final'!$A$17),"")</f>
        <v/>
      </c>
      <c r="AI16" s="484"/>
      <c r="AJ16" s="484" t="str">
        <f>IF(AND('Mapa final'!$O$19="Alta",'Mapa final'!$S$19="Catastrófico"),CONCATENATE("R",'Mapa final'!$A$19),"")</f>
        <v/>
      </c>
      <c r="AK16" s="484"/>
      <c r="AL16" s="484" t="str">
        <f>IF(AND('Mapa final'!$O$23="Alta",'Mapa final'!$S$23="Catastrófico"),CONCATENATE("R",'Mapa final'!$A$23),"")</f>
        <v/>
      </c>
      <c r="AM16" s="485"/>
      <c r="AN16" s="42"/>
      <c r="AO16" s="430"/>
      <c r="AP16" s="431"/>
      <c r="AQ16" s="431"/>
      <c r="AR16" s="431"/>
      <c r="AS16" s="431"/>
      <c r="AT16" s="43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row>
    <row r="17" spans="1:80" ht="15" customHeight="1" x14ac:dyDescent="0.25">
      <c r="A17" s="42"/>
      <c r="B17" s="416"/>
      <c r="C17" s="416"/>
      <c r="D17" s="417"/>
      <c r="E17" s="457"/>
      <c r="F17" s="458"/>
      <c r="G17" s="458"/>
      <c r="H17" s="458"/>
      <c r="I17" s="471"/>
      <c r="J17" s="501"/>
      <c r="K17" s="502"/>
      <c r="L17" s="503"/>
      <c r="M17" s="503"/>
      <c r="N17" s="503"/>
      <c r="O17" s="504"/>
      <c r="P17" s="513"/>
      <c r="Q17" s="503"/>
      <c r="R17" s="503"/>
      <c r="S17" s="503"/>
      <c r="T17" s="503"/>
      <c r="U17" s="504"/>
      <c r="V17" s="475"/>
      <c r="W17" s="476"/>
      <c r="X17" s="479"/>
      <c r="Y17" s="479"/>
      <c r="Z17" s="479"/>
      <c r="AA17" s="478"/>
      <c r="AB17" s="475"/>
      <c r="AC17" s="476"/>
      <c r="AD17" s="479"/>
      <c r="AE17" s="479"/>
      <c r="AF17" s="479"/>
      <c r="AG17" s="478"/>
      <c r="AH17" s="483"/>
      <c r="AI17" s="484"/>
      <c r="AJ17" s="484"/>
      <c r="AK17" s="484"/>
      <c r="AL17" s="484"/>
      <c r="AM17" s="485"/>
      <c r="AN17" s="42"/>
      <c r="AO17" s="430"/>
      <c r="AP17" s="431"/>
      <c r="AQ17" s="431"/>
      <c r="AR17" s="431"/>
      <c r="AS17" s="431"/>
      <c r="AT17" s="43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row>
    <row r="18" spans="1:80" ht="15" customHeight="1" x14ac:dyDescent="0.25">
      <c r="A18" s="42"/>
      <c r="B18" s="416"/>
      <c r="C18" s="416"/>
      <c r="D18" s="417"/>
      <c r="E18" s="457"/>
      <c r="F18" s="458"/>
      <c r="G18" s="458"/>
      <c r="H18" s="458"/>
      <c r="I18" s="471"/>
      <c r="J18" s="501" t="str">
        <f>IF(AND('Mapa final'!$O$26="Alta",'Mapa final'!$S$26="Leve"),CONCATENATE("R",'Mapa final'!$A$26),"")</f>
        <v/>
      </c>
      <c r="K18" s="502"/>
      <c r="L18" s="503" t="str">
        <f>IF(AND('Mapa final'!$O$28="Alta",'Mapa final'!$S$28="Leve"),CONCATENATE("R",'Mapa final'!$A$28),"")</f>
        <v/>
      </c>
      <c r="M18" s="503"/>
      <c r="N18" s="503" t="str">
        <f>IF(AND('Mapa final'!$O$30="Alta",'Mapa final'!$S$30="Leve"),CONCATENATE("R",'Mapa final'!$A$30),"")</f>
        <v/>
      </c>
      <c r="O18" s="504"/>
      <c r="P18" s="513" t="str">
        <f>IF(AND('Mapa final'!$O$26="Alta",'Mapa final'!$S$26="Menor"),CONCATENATE("R",'Mapa final'!$A$26),"")</f>
        <v/>
      </c>
      <c r="Q18" s="503"/>
      <c r="R18" s="503" t="str">
        <f>IF(AND('Mapa final'!$O$28="Alta",'Mapa final'!$S$28="Menor"),CONCATENATE("R",'Mapa final'!$A$28),"")</f>
        <v/>
      </c>
      <c r="S18" s="503"/>
      <c r="T18" s="503" t="str">
        <f>IF(AND('Mapa final'!$O$30="Alta",'Mapa final'!$S$30="Menor"),CONCATENATE("R",'Mapa final'!$A$30),"")</f>
        <v/>
      </c>
      <c r="U18" s="504"/>
      <c r="V18" s="475" t="str">
        <f>IF(AND('Mapa final'!$O$26="Alta",'Mapa final'!$S$26="Moderado"),CONCATENATE("R",'Mapa final'!$A$26),"")</f>
        <v/>
      </c>
      <c r="W18" s="476"/>
      <c r="X18" s="479" t="str">
        <f>IF(AND('Mapa final'!$O$28="Alta",'Mapa final'!$S$28="Moderado"),CONCATENATE("R",'Mapa final'!$A$28),"")</f>
        <v/>
      </c>
      <c r="Y18" s="479"/>
      <c r="Z18" s="479" t="str">
        <f>IF(AND('Mapa final'!$O$30="Alta",'Mapa final'!$S$30="Moderado"),CONCATENATE("R",'Mapa final'!$A$30),"")</f>
        <v/>
      </c>
      <c r="AA18" s="478"/>
      <c r="AB18" s="475" t="str">
        <f>IF(AND('Mapa final'!$O$26="Alta",'Mapa final'!$S$26="Mayor"),CONCATENATE("R",'Mapa final'!$A$26),"")</f>
        <v/>
      </c>
      <c r="AC18" s="476"/>
      <c r="AD18" s="479" t="str">
        <f>IF(AND('Mapa final'!$O$28="Alta",'Mapa final'!$S$28="Mayor"),CONCATENATE("R",'Mapa final'!$A$28),"")</f>
        <v/>
      </c>
      <c r="AE18" s="479"/>
      <c r="AF18" s="479" t="str">
        <f>IF(AND('Mapa final'!$O$30="Alta",'Mapa final'!$S$30="Mayor"),CONCATENATE("R",'Mapa final'!$A$30),"")</f>
        <v/>
      </c>
      <c r="AG18" s="478"/>
      <c r="AH18" s="483" t="str">
        <f>IF(AND('Mapa final'!$O$26="Alta",'Mapa final'!$S$26="Catastrófico"),CONCATENATE("R",'Mapa final'!$A$26),"")</f>
        <v/>
      </c>
      <c r="AI18" s="484"/>
      <c r="AJ18" s="484" t="str">
        <f>IF(AND('Mapa final'!$O$28="Alta",'Mapa final'!$S$28="Catastrófico"),CONCATENATE("R",'Mapa final'!$A$28),"")</f>
        <v/>
      </c>
      <c r="AK18" s="484"/>
      <c r="AL18" s="484" t="str">
        <f>IF(AND('Mapa final'!$O$30="Alta",'Mapa final'!$S$30="Catastrófico"),CONCATENATE("R",'Mapa final'!$A$30),"")</f>
        <v/>
      </c>
      <c r="AM18" s="485"/>
      <c r="AN18" s="42"/>
      <c r="AO18" s="430"/>
      <c r="AP18" s="431"/>
      <c r="AQ18" s="431"/>
      <c r="AR18" s="431"/>
      <c r="AS18" s="431"/>
      <c r="AT18" s="43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row>
    <row r="19" spans="1:80" ht="15" customHeight="1" x14ac:dyDescent="0.25">
      <c r="A19" s="42"/>
      <c r="B19" s="416"/>
      <c r="C19" s="416"/>
      <c r="D19" s="417"/>
      <c r="E19" s="457"/>
      <c r="F19" s="458"/>
      <c r="G19" s="458"/>
      <c r="H19" s="458"/>
      <c r="I19" s="471"/>
      <c r="J19" s="501"/>
      <c r="K19" s="502"/>
      <c r="L19" s="503"/>
      <c r="M19" s="503"/>
      <c r="N19" s="503"/>
      <c r="O19" s="504"/>
      <c r="P19" s="513"/>
      <c r="Q19" s="503"/>
      <c r="R19" s="503"/>
      <c r="S19" s="503"/>
      <c r="T19" s="503"/>
      <c r="U19" s="504"/>
      <c r="V19" s="475"/>
      <c r="W19" s="476"/>
      <c r="X19" s="479"/>
      <c r="Y19" s="479"/>
      <c r="Z19" s="479"/>
      <c r="AA19" s="478"/>
      <c r="AB19" s="475"/>
      <c r="AC19" s="476"/>
      <c r="AD19" s="479"/>
      <c r="AE19" s="479"/>
      <c r="AF19" s="479"/>
      <c r="AG19" s="478"/>
      <c r="AH19" s="483"/>
      <c r="AI19" s="484"/>
      <c r="AJ19" s="484"/>
      <c r="AK19" s="484"/>
      <c r="AL19" s="484"/>
      <c r="AM19" s="485"/>
      <c r="AN19" s="42"/>
      <c r="AO19" s="430"/>
      <c r="AP19" s="431"/>
      <c r="AQ19" s="431"/>
      <c r="AR19" s="431"/>
      <c r="AS19" s="431"/>
      <c r="AT19" s="43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row>
    <row r="20" spans="1:80" ht="15" customHeight="1" x14ac:dyDescent="0.25">
      <c r="A20" s="42"/>
      <c r="B20" s="416"/>
      <c r="C20" s="416"/>
      <c r="D20" s="417"/>
      <c r="E20" s="457"/>
      <c r="F20" s="458"/>
      <c r="G20" s="458"/>
      <c r="H20" s="458"/>
      <c r="I20" s="471"/>
      <c r="J20" s="501" t="str">
        <f>IF(AND('Mapa final'!$O$33="Alta",'Mapa final'!$S$33="Leve"),CONCATENATE("R",'Mapa final'!$A$33),"")</f>
        <v/>
      </c>
      <c r="K20" s="502"/>
      <c r="L20" s="503" t="str">
        <f>IF(AND('Mapa final'!$O$35="Alta",'Mapa final'!$S$35="Leve"),CONCATENATE("R",'Mapa final'!$A$35),"")</f>
        <v/>
      </c>
      <c r="M20" s="503"/>
      <c r="N20" s="503"/>
      <c r="O20" s="504"/>
      <c r="P20" s="513" t="str">
        <f>IF(AND('Mapa final'!$O$33="Alta",'Mapa final'!$S$33="Menor"),CONCATENATE("R",'Mapa final'!$A$33),"")</f>
        <v/>
      </c>
      <c r="Q20" s="503"/>
      <c r="R20" s="503"/>
      <c r="S20" s="503"/>
      <c r="T20" s="503"/>
      <c r="U20" s="504"/>
      <c r="V20" s="475" t="str">
        <f>IF(AND('Mapa final'!$O$33="Alta",'Mapa final'!$S$33="Moderado"),CONCATENATE("R",'Mapa final'!$A$33),"")</f>
        <v/>
      </c>
      <c r="W20" s="476"/>
      <c r="X20" s="479" t="str">
        <f>IF(AND('Mapa final'!$O$67="Alta",'Mapa final'!$S$67="Moderado"),CONCATENATE("R",'Mapa final'!$A$67),"")</f>
        <v>RG25</v>
      </c>
      <c r="Y20" s="479"/>
      <c r="Z20" s="479" t="str">
        <f>IF(AND('Mapa final'!$O$44="Alta",'Mapa final'!$S$44="Moderado"),CONCATENATE("R",'Mapa final'!$A$44),"")</f>
        <v>RG14</v>
      </c>
      <c r="AA20" s="478"/>
      <c r="AB20" s="475" t="str">
        <f>IF(AND('Mapa final'!$O$33="Alta",'Mapa final'!$S$33="Mayor"),CONCATENATE("R",'Mapa final'!$A$33),"")</f>
        <v/>
      </c>
      <c r="AC20" s="476"/>
      <c r="AD20" s="479" t="str">
        <f>IF(AND('Mapa final'!$O$35="Alta",'Mapa final'!$S$35="Mayor"),CONCATENATE("R",'Mapa final'!$A$35),"")</f>
        <v/>
      </c>
      <c r="AE20" s="479"/>
      <c r="AF20" s="479"/>
      <c r="AG20" s="478"/>
      <c r="AH20" s="483" t="str">
        <f>IF(AND('Mapa final'!$O$33="Alta",'Mapa final'!$S$33="Catastrófico"),CONCATENATE("R",'Mapa final'!$A$33),"")</f>
        <v/>
      </c>
      <c r="AI20" s="484"/>
      <c r="AJ20" s="484" t="str">
        <f>IF(AND('Mapa final'!$O$35="Alta",'Mapa final'!$S$35="Catastrófico"),CONCATENATE("R",'Mapa final'!$A$35),"")</f>
        <v/>
      </c>
      <c r="AK20" s="484"/>
      <c r="AL20" s="484"/>
      <c r="AM20" s="485"/>
      <c r="AN20" s="42"/>
      <c r="AO20" s="430"/>
      <c r="AP20" s="431"/>
      <c r="AQ20" s="431"/>
      <c r="AR20" s="431"/>
      <c r="AS20" s="431"/>
      <c r="AT20" s="43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row>
    <row r="21" spans="1:80" ht="15.75" customHeight="1" thickBot="1" x14ac:dyDescent="0.3">
      <c r="A21" s="42"/>
      <c r="B21" s="416"/>
      <c r="C21" s="416"/>
      <c r="D21" s="417"/>
      <c r="E21" s="460"/>
      <c r="F21" s="461"/>
      <c r="G21" s="461"/>
      <c r="H21" s="461"/>
      <c r="I21" s="461"/>
      <c r="J21" s="505"/>
      <c r="K21" s="506"/>
      <c r="L21" s="507"/>
      <c r="M21" s="507"/>
      <c r="N21" s="507"/>
      <c r="O21" s="508"/>
      <c r="P21" s="514"/>
      <c r="Q21" s="507"/>
      <c r="R21" s="507"/>
      <c r="S21" s="507"/>
      <c r="T21" s="507"/>
      <c r="U21" s="508"/>
      <c r="V21" s="480"/>
      <c r="W21" s="481"/>
      <c r="X21" s="481"/>
      <c r="Y21" s="481"/>
      <c r="Z21" s="479"/>
      <c r="AA21" s="478"/>
      <c r="AB21" s="480"/>
      <c r="AC21" s="481"/>
      <c r="AD21" s="481"/>
      <c r="AE21" s="481"/>
      <c r="AF21" s="481"/>
      <c r="AG21" s="482"/>
      <c r="AH21" s="483"/>
      <c r="AI21" s="484"/>
      <c r="AJ21" s="484"/>
      <c r="AK21" s="484"/>
      <c r="AL21" s="484"/>
      <c r="AM21" s="485"/>
      <c r="AN21" s="42"/>
      <c r="AO21" s="433"/>
      <c r="AP21" s="434"/>
      <c r="AQ21" s="434"/>
      <c r="AR21" s="434"/>
      <c r="AS21" s="434"/>
      <c r="AT21" s="435"/>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row>
    <row r="22" spans="1:80" ht="15" customHeight="1" x14ac:dyDescent="0.25">
      <c r="A22" s="42"/>
      <c r="B22" s="416"/>
      <c r="C22" s="416"/>
      <c r="D22" s="417"/>
      <c r="E22" s="454" t="s">
        <v>115</v>
      </c>
      <c r="F22" s="455"/>
      <c r="G22" s="455"/>
      <c r="H22" s="455"/>
      <c r="I22" s="456"/>
      <c r="J22" s="509" t="str">
        <f>IF(AND('Mapa final'!$O$15="Media",'Mapa final'!$S$15="Leve"),CONCATENATE("R",'Mapa final'!$A$15),"")</f>
        <v/>
      </c>
      <c r="K22" s="510"/>
      <c r="L22" s="511"/>
      <c r="M22" s="511"/>
      <c r="N22" s="511" t="str">
        <f>IF(AND('Mapa final'!$O$16="Media",'Mapa final'!$S$16="Leve"),CONCATENATE("R",'Mapa final'!$A$16),"")</f>
        <v/>
      </c>
      <c r="O22" s="512"/>
      <c r="P22" s="515" t="str">
        <f>IF(AND('Mapa final'!$O$15="Media",'Mapa final'!$S$15="Menor"),CONCATENATE("R",'Mapa final'!$A$15),"")</f>
        <v/>
      </c>
      <c r="Q22" s="511"/>
      <c r="R22" s="511" t="str">
        <f>IF(AND('Mapa final'!$O$50="Media",'Mapa final'!$S$50="Menor"),CONCATENATE("R",'Mapa final'!$A$50),"")</f>
        <v>RG16</v>
      </c>
      <c r="S22" s="511"/>
      <c r="T22" s="511" t="str">
        <f>IF(AND('Mapa final'!$O$52="Media",'Mapa final'!$S$52="Menor"),CONCATENATE("R",'Mapa final'!$A$52),"")</f>
        <v>RG17</v>
      </c>
      <c r="U22" s="511"/>
      <c r="V22" s="515" t="str">
        <f>IF(AND('Mapa final'!$O$15="Media",'Mapa final'!$S$15="Moderado"),CONCATENATE("R",'Mapa final'!$A$15),"")</f>
        <v/>
      </c>
      <c r="W22" s="511"/>
      <c r="X22" s="511"/>
      <c r="Y22" s="511"/>
      <c r="Z22" s="511" t="str">
        <f>IF(AND('Mapa final'!$O$16="Media",'Mapa final'!$S$16="Moderado"),CONCATENATE("R",'Mapa final'!$A$16),"")</f>
        <v>RG2</v>
      </c>
      <c r="AA22" s="512"/>
      <c r="AB22" s="473" t="str">
        <f>IF(AND('Mapa final'!$O$15="Media",'Mapa final'!$S$15="Mayor"),CONCATENATE("R",'Mapa final'!$A$15),"")</f>
        <v/>
      </c>
      <c r="AC22" s="474"/>
      <c r="AD22" s="474"/>
      <c r="AE22" s="474"/>
      <c r="AF22" s="474" t="str">
        <f>IF(AND('Mapa final'!$O$16="Media",'Mapa final'!$S$16="Mayor"),CONCATENATE("R",'Mapa final'!$A$16),"")</f>
        <v/>
      </c>
      <c r="AG22" s="474"/>
      <c r="AH22" s="498" t="str">
        <f>IF(AND('Mapa final'!$O$15="Media",'Mapa final'!$S$15="Catastrófico"),CONCATENATE("R",'Mapa final'!$A$15),"")</f>
        <v/>
      </c>
      <c r="AI22" s="499"/>
      <c r="AJ22" s="499" t="str">
        <f>IF(AND('Mapa final'!$O$15="Media",'Mapa final'!$S$15="Catastrófico"),CONCATENATE("R",'Mapa final'!$A$15),"")</f>
        <v/>
      </c>
      <c r="AK22" s="499"/>
      <c r="AL22" s="499" t="str">
        <f>IF(AND('Mapa final'!$O$15="Media",'Mapa final'!$S$15="Catastrófico"),CONCATENATE("R",'Mapa final'!$A$15),"")</f>
        <v/>
      </c>
      <c r="AM22" s="500"/>
      <c r="AN22" s="42"/>
      <c r="AO22" s="436" t="s">
        <v>79</v>
      </c>
      <c r="AP22" s="437"/>
      <c r="AQ22" s="437"/>
      <c r="AR22" s="437"/>
      <c r="AS22" s="437"/>
      <c r="AT22" s="438"/>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row>
    <row r="23" spans="1:80" ht="15" customHeight="1" x14ac:dyDescent="0.25">
      <c r="A23" s="42"/>
      <c r="B23" s="416"/>
      <c r="C23" s="416"/>
      <c r="D23" s="417"/>
      <c r="E23" s="457"/>
      <c r="F23" s="458"/>
      <c r="G23" s="458"/>
      <c r="H23" s="458"/>
      <c r="I23" s="459"/>
      <c r="J23" s="501"/>
      <c r="K23" s="502"/>
      <c r="L23" s="503"/>
      <c r="M23" s="503"/>
      <c r="N23" s="503"/>
      <c r="O23" s="504"/>
      <c r="P23" s="513"/>
      <c r="Q23" s="503"/>
      <c r="R23" s="503"/>
      <c r="S23" s="503"/>
      <c r="T23" s="503"/>
      <c r="U23" s="503"/>
      <c r="V23" s="513"/>
      <c r="W23" s="503"/>
      <c r="X23" s="503"/>
      <c r="Y23" s="503"/>
      <c r="Z23" s="503"/>
      <c r="AA23" s="504"/>
      <c r="AB23" s="475"/>
      <c r="AC23" s="476"/>
      <c r="AD23" s="476"/>
      <c r="AE23" s="476"/>
      <c r="AF23" s="476"/>
      <c r="AG23" s="476"/>
      <c r="AH23" s="492"/>
      <c r="AI23" s="493"/>
      <c r="AJ23" s="493"/>
      <c r="AK23" s="493"/>
      <c r="AL23" s="493"/>
      <c r="AM23" s="494"/>
      <c r="AN23" s="42"/>
      <c r="AO23" s="439"/>
      <c r="AP23" s="440"/>
      <c r="AQ23" s="440"/>
      <c r="AR23" s="440"/>
      <c r="AS23" s="440"/>
      <c r="AT23" s="441"/>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row>
    <row r="24" spans="1:80" ht="15" customHeight="1" x14ac:dyDescent="0.25">
      <c r="A24" s="42"/>
      <c r="B24" s="416"/>
      <c r="C24" s="416"/>
      <c r="D24" s="417"/>
      <c r="E24" s="457"/>
      <c r="F24" s="458"/>
      <c r="G24" s="458"/>
      <c r="H24" s="458"/>
      <c r="I24" s="459"/>
      <c r="J24" s="501" t="str">
        <f>IF(AND('Mapa final'!$O$17="Media",'Mapa final'!$S$17="Leve"),CONCATENATE("R",'Mapa final'!$A$17),"")</f>
        <v/>
      </c>
      <c r="K24" s="502"/>
      <c r="L24" s="503" t="str">
        <f>IF(AND('Mapa final'!$O$19="Media",'Mapa final'!$S$19="Leve"),CONCATENATE("R",'Mapa final'!$A$19),"")</f>
        <v/>
      </c>
      <c r="M24" s="503"/>
      <c r="N24" s="503" t="str">
        <f>IF(AND('Mapa final'!$O$23="Media",'Mapa final'!$S$23="Leve"),CONCATENATE("R",'Mapa final'!$A$23),"")</f>
        <v>RG5</v>
      </c>
      <c r="O24" s="504"/>
      <c r="P24" s="513" t="str">
        <f>IF(AND('Mapa final'!$O$17="Media",'Mapa final'!$S$17="Menor"),CONCATENATE("R",'Mapa final'!$A$17),"")</f>
        <v/>
      </c>
      <c r="Q24" s="503"/>
      <c r="R24" s="503" t="str">
        <f>IF(AND('Mapa final'!$O$19="Media",'Mapa final'!$S$19="Menor"),CONCATENATE("R",'Mapa final'!$A$19),"")</f>
        <v/>
      </c>
      <c r="S24" s="503"/>
      <c r="T24" s="503" t="str">
        <f>IF(AND('Mapa final'!$O$23="Media",'Mapa final'!$S$23="Menor"),CONCATENATE("R",'Mapa final'!$A$23),"")</f>
        <v/>
      </c>
      <c r="U24" s="504"/>
      <c r="V24" s="513" t="str">
        <f>IF(AND('Mapa final'!$O$17="Media",'Mapa final'!$S$17="Moderado"),CONCATENATE("R",'Mapa final'!$A$17),"")</f>
        <v/>
      </c>
      <c r="W24" s="503"/>
      <c r="X24" s="503" t="str">
        <f>IF(AND('Mapa final'!$O$19="Media",'Mapa final'!$S$19="Moderado"),CONCATENATE("R",'Mapa final'!$A$19),"")</f>
        <v/>
      </c>
      <c r="Y24" s="503"/>
      <c r="Z24" s="503" t="str">
        <f>IF(AND('Mapa final'!$O$23="Media",'Mapa final'!$S$23="Moderado"),CONCATENATE("R",'Mapa final'!$A$23),"")</f>
        <v/>
      </c>
      <c r="AA24" s="504"/>
      <c r="AB24" s="475" t="str">
        <f>IF(AND('Mapa final'!$O$17="Media",'Mapa final'!$S$17="Mayor"),CONCATENATE("R",'Mapa final'!$A$17),"")</f>
        <v/>
      </c>
      <c r="AC24" s="476"/>
      <c r="AD24" s="479" t="str">
        <f>IF(AND('Mapa final'!$O$19="Media",'Mapa final'!$S$19="Mayor"),CONCATENATE("R",'Mapa final'!$A$19),"")</f>
        <v>RG4</v>
      </c>
      <c r="AE24" s="479"/>
      <c r="AF24" s="479" t="str">
        <f>IF(AND('Mapa final'!$O$23="Media",'Mapa final'!$S$23="Mayor"),CONCATENATE("R",'Mapa final'!$A$23),"")</f>
        <v/>
      </c>
      <c r="AG24" s="476"/>
      <c r="AH24" s="492" t="str">
        <f>IF(AND('Mapa final'!$O$17="Media",'Mapa final'!$S$17="Catastrófico"),CONCATENATE("R",'Mapa final'!$A$17),"")</f>
        <v/>
      </c>
      <c r="AI24" s="493"/>
      <c r="AJ24" s="493" t="str">
        <f>IF(AND('Mapa final'!$O$17="Media",'Mapa final'!$S$17="Catastrófico"),CONCATENATE("R",'Mapa final'!$A$17),"")</f>
        <v/>
      </c>
      <c r="AK24" s="493"/>
      <c r="AL24" s="493" t="str">
        <f>IF(AND('Mapa final'!$O$17="Media",'Mapa final'!$S$17="Catastrófico"),CONCATENATE("R",'Mapa final'!$A$17),"")</f>
        <v/>
      </c>
      <c r="AM24" s="494"/>
      <c r="AN24" s="42"/>
      <c r="AO24" s="439"/>
      <c r="AP24" s="440"/>
      <c r="AQ24" s="440"/>
      <c r="AR24" s="440"/>
      <c r="AS24" s="440"/>
      <c r="AT24" s="441"/>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row>
    <row r="25" spans="1:80" ht="15" customHeight="1" x14ac:dyDescent="0.25">
      <c r="A25" s="42"/>
      <c r="B25" s="416"/>
      <c r="C25" s="416"/>
      <c r="D25" s="417"/>
      <c r="E25" s="457"/>
      <c r="F25" s="458"/>
      <c r="G25" s="458"/>
      <c r="H25" s="458"/>
      <c r="I25" s="459"/>
      <c r="J25" s="501"/>
      <c r="K25" s="502"/>
      <c r="L25" s="503"/>
      <c r="M25" s="503"/>
      <c r="N25" s="503"/>
      <c r="O25" s="504"/>
      <c r="P25" s="513"/>
      <c r="Q25" s="503"/>
      <c r="R25" s="503"/>
      <c r="S25" s="503"/>
      <c r="T25" s="503"/>
      <c r="U25" s="504"/>
      <c r="V25" s="513"/>
      <c r="W25" s="503"/>
      <c r="X25" s="503"/>
      <c r="Y25" s="503"/>
      <c r="Z25" s="503"/>
      <c r="AA25" s="504"/>
      <c r="AB25" s="475"/>
      <c r="AC25" s="476"/>
      <c r="AD25" s="479"/>
      <c r="AE25" s="479"/>
      <c r="AF25" s="479"/>
      <c r="AG25" s="476"/>
      <c r="AH25" s="492"/>
      <c r="AI25" s="493"/>
      <c r="AJ25" s="493"/>
      <c r="AK25" s="493"/>
      <c r="AL25" s="493"/>
      <c r="AM25" s="494"/>
      <c r="AN25" s="42"/>
      <c r="AO25" s="439"/>
      <c r="AP25" s="440"/>
      <c r="AQ25" s="440"/>
      <c r="AR25" s="440"/>
      <c r="AS25" s="440"/>
      <c r="AT25" s="441"/>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row>
    <row r="26" spans="1:80" ht="15" customHeight="1" x14ac:dyDescent="0.25">
      <c r="A26" s="42"/>
      <c r="B26" s="416"/>
      <c r="C26" s="416"/>
      <c r="D26" s="417"/>
      <c r="E26" s="457"/>
      <c r="F26" s="458"/>
      <c r="G26" s="458"/>
      <c r="H26" s="458"/>
      <c r="I26" s="459"/>
      <c r="J26" s="501" t="str">
        <f>IF(AND('Mapa final'!$O$26="Media",'Mapa final'!$S$26="Leve"),CONCATENATE("R",'Mapa final'!$A$26),"")</f>
        <v/>
      </c>
      <c r="K26" s="502"/>
      <c r="L26" s="503" t="str">
        <f>IF(AND('Mapa final'!$O$28="Media",'Mapa final'!$S$28="Leve"),CONCATENATE("R",'Mapa final'!$A$28),"")</f>
        <v/>
      </c>
      <c r="M26" s="503"/>
      <c r="N26" s="503" t="str">
        <f>IF(AND('Mapa final'!$O$30="Media",'Mapa final'!$S$30="Leve"),CONCATENATE("R",'Mapa final'!$A$30),"")</f>
        <v/>
      </c>
      <c r="O26" s="504"/>
      <c r="P26" s="513" t="str">
        <f>IF(AND('Mapa final'!$O$26="Media",'Mapa final'!$S$26="Menor"),CONCATENATE("R",'Mapa final'!$A$26),"")</f>
        <v/>
      </c>
      <c r="Q26" s="503"/>
      <c r="R26" s="503" t="str">
        <f>IF(AND('Mapa final'!$O$28="Media",'Mapa final'!$S$28="Menor"),CONCATENATE("R",'Mapa final'!$A$28),"")</f>
        <v/>
      </c>
      <c r="S26" s="503"/>
      <c r="T26" s="503" t="str">
        <f>IF(AND('Mapa final'!$O$46="Media",'Mapa final'!$S$46="Menor"),CONCATENATE("R",'Mapa final'!$A$46),"")</f>
        <v>RG15</v>
      </c>
      <c r="U26" s="504"/>
      <c r="V26" s="513" t="str">
        <f>IF(AND('Mapa final'!$O$26="Media",'Mapa final'!$S$26="Moderado"),CONCATENATE("R",'Mapa final'!$A$26),"")</f>
        <v/>
      </c>
      <c r="W26" s="503"/>
      <c r="X26" s="503" t="str">
        <f>IF(AND('Mapa final'!$O$28="Media",'Mapa final'!$S$28="Moderado"),CONCATENATE("R",'Mapa final'!$A$28),"")</f>
        <v>RG7</v>
      </c>
      <c r="Y26" s="503"/>
      <c r="Z26" s="503" t="str">
        <f>IF(AND('Mapa final'!$O$62="Media",'Mapa final'!$S$62="Moderado"),CONCATENATE("R",'Mapa final'!$A$62),"")</f>
        <v>RG23</v>
      </c>
      <c r="AA26" s="504"/>
      <c r="AB26" s="475" t="str">
        <f>IF(AND('Mapa final'!$O$26="Media",'Mapa final'!$S$26="Mayor"),CONCATENATE("R",'Mapa final'!$A$26),"")</f>
        <v/>
      </c>
      <c r="AC26" s="476"/>
      <c r="AD26" s="479" t="str">
        <f>IF(AND('Mapa final'!$O$28="Media",'Mapa final'!$S$28="Mayor"),CONCATENATE("R",'Mapa final'!$A$28),"")</f>
        <v/>
      </c>
      <c r="AE26" s="479"/>
      <c r="AF26" s="479" t="str">
        <f>IF(AND('Mapa final'!$O$30="Media",'Mapa final'!$S$30="Mayor"),CONCATENATE("R",'Mapa final'!$A$30),"")</f>
        <v/>
      </c>
      <c r="AG26" s="476"/>
      <c r="AH26" s="492" t="str">
        <f>IF(AND('Mapa final'!$O$26="Media",'Mapa final'!$S$26="Catastrófico"),CONCATENATE("R",'Mapa final'!$A$26),"")</f>
        <v/>
      </c>
      <c r="AI26" s="493"/>
      <c r="AJ26" s="493" t="str">
        <f>IF(AND('Mapa final'!$O$26="Media",'Mapa final'!$S$26="Catastrófico"),CONCATENATE("R",'Mapa final'!$A$26),"")</f>
        <v/>
      </c>
      <c r="AK26" s="493"/>
      <c r="AL26" s="493" t="str">
        <f>IF(AND('Mapa final'!$O$26="Media",'Mapa final'!$S$26="Catastrófico"),CONCATENATE("R",'Mapa final'!$A$26),"")</f>
        <v/>
      </c>
      <c r="AM26" s="494"/>
      <c r="AN26" s="42"/>
      <c r="AO26" s="439"/>
      <c r="AP26" s="440"/>
      <c r="AQ26" s="440"/>
      <c r="AR26" s="440"/>
      <c r="AS26" s="440"/>
      <c r="AT26" s="441"/>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row>
    <row r="27" spans="1:80" ht="15" customHeight="1" x14ac:dyDescent="0.25">
      <c r="A27" s="42"/>
      <c r="B27" s="416"/>
      <c r="C27" s="416"/>
      <c r="D27" s="417"/>
      <c r="E27" s="457"/>
      <c r="F27" s="458"/>
      <c r="G27" s="458"/>
      <c r="H27" s="458"/>
      <c r="I27" s="459"/>
      <c r="J27" s="501"/>
      <c r="K27" s="502"/>
      <c r="L27" s="503"/>
      <c r="M27" s="503"/>
      <c r="N27" s="503"/>
      <c r="O27" s="504"/>
      <c r="P27" s="513"/>
      <c r="Q27" s="503"/>
      <c r="R27" s="503"/>
      <c r="S27" s="503"/>
      <c r="T27" s="503"/>
      <c r="U27" s="504"/>
      <c r="V27" s="513"/>
      <c r="W27" s="503"/>
      <c r="X27" s="503"/>
      <c r="Y27" s="503"/>
      <c r="Z27" s="503"/>
      <c r="AA27" s="504"/>
      <c r="AB27" s="475"/>
      <c r="AC27" s="476"/>
      <c r="AD27" s="479"/>
      <c r="AE27" s="479"/>
      <c r="AF27" s="479"/>
      <c r="AG27" s="476"/>
      <c r="AH27" s="492"/>
      <c r="AI27" s="493"/>
      <c r="AJ27" s="493"/>
      <c r="AK27" s="493"/>
      <c r="AL27" s="493"/>
      <c r="AM27" s="494"/>
      <c r="AN27" s="42"/>
      <c r="AO27" s="439"/>
      <c r="AP27" s="440"/>
      <c r="AQ27" s="440"/>
      <c r="AR27" s="440"/>
      <c r="AS27" s="440"/>
      <c r="AT27" s="441"/>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row>
    <row r="28" spans="1:80" ht="15" customHeight="1" x14ac:dyDescent="0.25">
      <c r="A28" s="42"/>
      <c r="B28" s="416"/>
      <c r="C28" s="416"/>
      <c r="D28" s="417"/>
      <c r="E28" s="457"/>
      <c r="F28" s="458"/>
      <c r="G28" s="458"/>
      <c r="H28" s="458"/>
      <c r="I28" s="459"/>
      <c r="J28" s="501" t="str">
        <f>IF(AND('Mapa final'!$O$33="Media",'Mapa final'!$S$33="Leve"),CONCATENATE("R",'Mapa final'!$A$33),"")</f>
        <v/>
      </c>
      <c r="K28" s="502"/>
      <c r="L28" s="503" t="str">
        <f>IF(AND('Mapa final'!$O$35="Media",'Mapa final'!$S$35="Leve"),CONCATENATE("R",'Mapa final'!$A$35),"")</f>
        <v/>
      </c>
      <c r="M28" s="503"/>
      <c r="N28" s="503"/>
      <c r="O28" s="504"/>
      <c r="P28" s="513" t="str">
        <f>IF(AND('Mapa final'!$O$33="Media",'Mapa final'!$S$33="Menor"),CONCATENATE("R",'Mapa final'!$A$33),"")</f>
        <v>RG9</v>
      </c>
      <c r="Q28" s="503"/>
      <c r="R28" s="503" t="str">
        <f>IF(AND('Mapa final'!$O$35="Media",'Mapa final'!$S$35="Menor"),CONCATENATE("R",'Mapa final'!$A$35),"")</f>
        <v>RG10</v>
      </c>
      <c r="S28" s="503"/>
      <c r="T28" s="503" t="str">
        <f>IF(AND('Mapa final'!$O$39="Media",'Mapa final'!$S$39="Menor"),CONCATENATE("R",'Mapa final'!$A$39),"")</f>
        <v>RG12</v>
      </c>
      <c r="U28" s="503"/>
      <c r="V28" s="513" t="str">
        <f>IF(AND('Mapa final'!$O$33="Media",'Mapa final'!$S$33="Moderado"),CONCATENATE("R",'Mapa final'!$A$33),"")</f>
        <v/>
      </c>
      <c r="W28" s="503"/>
      <c r="X28" s="503" t="str">
        <f>IF(AND('Mapa final'!$O$64="Media",'Mapa final'!$S$64="Moderado"),CONCATENATE("R",'Mapa final'!$A$64),"")</f>
        <v>RG24</v>
      </c>
      <c r="Y28" s="503"/>
      <c r="Z28" s="503" t="str">
        <f>IF(AND('Mapa final'!$O$61="Media",'Mapa final'!$S$61="Moderado"),CONCATENATE("R",'Mapa final'!$A$61),"")</f>
        <v>RG22</v>
      </c>
      <c r="AA28" s="503"/>
      <c r="AB28" s="475" t="str">
        <f>IF(AND('Mapa final'!$O$33="Media",'Mapa final'!$S$33="Mayor"),CONCATENATE("R",'Mapa final'!$A$33),"")</f>
        <v/>
      </c>
      <c r="AC28" s="476"/>
      <c r="AD28" s="479" t="str">
        <f>IF(AND('Mapa final'!$O$35="Media",'Mapa final'!$S$35="Mayor"),CONCATENATE("R",'Mapa final'!$A$35),"")</f>
        <v/>
      </c>
      <c r="AE28" s="479"/>
      <c r="AF28" s="479"/>
      <c r="AG28" s="476"/>
      <c r="AH28" s="492" t="str">
        <f>IF(AND('Mapa final'!$O$33="Media",'Mapa final'!$S$33="Catastrófico"),CONCATENATE("R",'Mapa final'!$A$33),"")</f>
        <v/>
      </c>
      <c r="AI28" s="493"/>
      <c r="AJ28" s="493" t="str">
        <f>IF(AND('Mapa final'!$O$33="Media",'Mapa final'!$S$33="Catastrófico"),CONCATENATE("R",'Mapa final'!$A$33),"")</f>
        <v/>
      </c>
      <c r="AK28" s="493"/>
      <c r="AL28" s="493" t="str">
        <f>IF(AND('Mapa final'!$O$33="Media",'Mapa final'!$S$33="Catastrófico"),CONCATENATE("R",'Mapa final'!$A$33),"")</f>
        <v/>
      </c>
      <c r="AM28" s="494"/>
      <c r="AN28" s="42"/>
      <c r="AO28" s="439"/>
      <c r="AP28" s="440"/>
      <c r="AQ28" s="440"/>
      <c r="AR28" s="440"/>
      <c r="AS28" s="440"/>
      <c r="AT28" s="441"/>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row>
    <row r="29" spans="1:80" ht="15.75" customHeight="1" thickBot="1" x14ac:dyDescent="0.3">
      <c r="A29" s="42"/>
      <c r="B29" s="416"/>
      <c r="C29" s="416"/>
      <c r="D29" s="417"/>
      <c r="E29" s="460"/>
      <c r="F29" s="461"/>
      <c r="G29" s="461"/>
      <c r="H29" s="461"/>
      <c r="I29" s="462"/>
      <c r="J29" s="501"/>
      <c r="K29" s="502"/>
      <c r="L29" s="503"/>
      <c r="M29" s="503"/>
      <c r="N29" s="503"/>
      <c r="O29" s="504"/>
      <c r="P29" s="514"/>
      <c r="Q29" s="507"/>
      <c r="R29" s="507"/>
      <c r="S29" s="507"/>
      <c r="T29" s="507"/>
      <c r="U29" s="507"/>
      <c r="V29" s="514"/>
      <c r="W29" s="507"/>
      <c r="X29" s="507"/>
      <c r="Y29" s="507"/>
      <c r="Z29" s="507"/>
      <c r="AA29" s="507"/>
      <c r="AB29" s="480"/>
      <c r="AC29" s="481"/>
      <c r="AD29" s="481"/>
      <c r="AE29" s="481"/>
      <c r="AF29" s="481"/>
      <c r="AG29" s="481"/>
      <c r="AH29" s="495"/>
      <c r="AI29" s="496"/>
      <c r="AJ29" s="496"/>
      <c r="AK29" s="496"/>
      <c r="AL29" s="496"/>
      <c r="AM29" s="497"/>
      <c r="AN29" s="42"/>
      <c r="AO29" s="442"/>
      <c r="AP29" s="443"/>
      <c r="AQ29" s="443"/>
      <c r="AR29" s="443"/>
      <c r="AS29" s="443"/>
      <c r="AT29" s="444"/>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row>
    <row r="30" spans="1:80" ht="15" customHeight="1" x14ac:dyDescent="0.55000000000000004">
      <c r="A30" s="42"/>
      <c r="B30" s="416"/>
      <c r="C30" s="416"/>
      <c r="D30" s="417"/>
      <c r="E30" s="454" t="s">
        <v>112</v>
      </c>
      <c r="F30" s="455"/>
      <c r="G30" s="455"/>
      <c r="H30" s="455"/>
      <c r="I30" s="455"/>
      <c r="J30" s="524" t="str">
        <f>IF(AND('Mapa final'!$O$15="Baja",'Mapa final'!$S$15="Leve"),CONCATENATE("R",'Mapa final'!$A$15),"")</f>
        <v/>
      </c>
      <c r="K30" s="525"/>
      <c r="L30" s="526"/>
      <c r="M30" s="526"/>
      <c r="N30" s="526" t="str">
        <f>IF(AND('Mapa final'!$O$16="Baja",'Mapa final'!$S$16="Leve"),CONCATENATE("R",'Mapa final'!$A$16),"")</f>
        <v/>
      </c>
      <c r="O30" s="527"/>
      <c r="P30" s="511" t="str">
        <f>IF(AND('Mapa final'!$O$15="Baja",'Mapa final'!$S$15="Menor"),CONCATENATE("R",'Mapa final'!$A$15),"")</f>
        <v/>
      </c>
      <c r="Q30" s="511"/>
      <c r="R30" s="511" t="str">
        <f>IF(AND('Mapa final'!$O$55="Baja",'Mapa final'!$S$55="Menor"),CONCATENATE("R",'Mapa final'!$A$55),"")</f>
        <v>RG19</v>
      </c>
      <c r="S30" s="511"/>
      <c r="T30" s="511" t="str">
        <f>IF(AND('Mapa final'!$O$58="Baja",'Mapa final'!$S$58="Menor"),CONCATENATE("R",'Mapa final'!$A$58),"")</f>
        <v>RG20</v>
      </c>
      <c r="U30" s="512"/>
      <c r="V30" s="515" t="str">
        <f>IF(AND('Mapa final'!$O$15="Baja",'Mapa final'!$S$15="Moderado"),CONCATENATE("R",'Mapa final'!$A$15),"")</f>
        <v>RG1</v>
      </c>
      <c r="W30" s="511"/>
      <c r="X30" s="511"/>
      <c r="Y30" s="511"/>
      <c r="Z30" s="511" t="str">
        <f>IF(AND('Mapa final'!$O$16="Baja",'Mapa final'!$S$16="Moderado"),CONCATENATE("R",'Mapa final'!$A$16),"")</f>
        <v/>
      </c>
      <c r="AA30" s="512"/>
      <c r="AB30" s="473" t="str">
        <f>IF(AND('Mapa final'!$O$15="Baja",'Mapa final'!$S$15="Mayor"),CONCATENATE("R",'Mapa final'!$A$15),"")</f>
        <v/>
      </c>
      <c r="AC30" s="474"/>
      <c r="AD30" s="474"/>
      <c r="AE30" s="474"/>
      <c r="AF30" s="474" t="str">
        <f>IF(AND('Mapa final'!$O$16="Baja",'Mapa final'!$S$16="Mayor"),CONCATENATE("R",'Mapa final'!$A$16),"")</f>
        <v/>
      </c>
      <c r="AG30" s="477"/>
      <c r="AH30" s="489" t="str">
        <f>IF(AND('Mapa final'!$O$15="Baja",'Mapa final'!$S$15="Catastrófico"),CONCATENATE("R",'Mapa final'!$A$15),"")</f>
        <v/>
      </c>
      <c r="AI30" s="490"/>
      <c r="AJ30" s="490"/>
      <c r="AK30" s="490"/>
      <c r="AL30" s="234" t="str">
        <f>IF(AND('Mapa final'!$O$16="Baja",'Mapa final'!$S$16="Catastrófico"),CONCATENATE("R",'Mapa final'!$A$16),"")</f>
        <v/>
      </c>
      <c r="AM30" s="235"/>
      <c r="AN30" s="42"/>
      <c r="AO30" s="445" t="s">
        <v>80</v>
      </c>
      <c r="AP30" s="446"/>
      <c r="AQ30" s="446"/>
      <c r="AR30" s="446"/>
      <c r="AS30" s="446"/>
      <c r="AT30" s="447"/>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row>
    <row r="31" spans="1:80" ht="15" customHeight="1" x14ac:dyDescent="0.55000000000000004">
      <c r="A31" s="42"/>
      <c r="B31" s="416"/>
      <c r="C31" s="416"/>
      <c r="D31" s="417"/>
      <c r="E31" s="457"/>
      <c r="F31" s="458"/>
      <c r="G31" s="458"/>
      <c r="H31" s="458"/>
      <c r="I31" s="471"/>
      <c r="J31" s="518"/>
      <c r="K31" s="519"/>
      <c r="L31" s="516"/>
      <c r="M31" s="516"/>
      <c r="N31" s="516"/>
      <c r="O31" s="517"/>
      <c r="P31" s="503"/>
      <c r="Q31" s="503"/>
      <c r="R31" s="503"/>
      <c r="S31" s="503"/>
      <c r="T31" s="503"/>
      <c r="U31" s="504"/>
      <c r="V31" s="513"/>
      <c r="W31" s="503"/>
      <c r="X31" s="503"/>
      <c r="Y31" s="503"/>
      <c r="Z31" s="503"/>
      <c r="AA31" s="504"/>
      <c r="AB31" s="475"/>
      <c r="AC31" s="476"/>
      <c r="AD31" s="476"/>
      <c r="AE31" s="476"/>
      <c r="AF31" s="476"/>
      <c r="AG31" s="478"/>
      <c r="AH31" s="483"/>
      <c r="AI31" s="484"/>
      <c r="AJ31" s="484"/>
      <c r="AK31" s="484"/>
      <c r="AL31" s="230"/>
      <c r="AM31" s="231"/>
      <c r="AN31" s="42"/>
      <c r="AO31" s="448"/>
      <c r="AP31" s="449"/>
      <c r="AQ31" s="449"/>
      <c r="AR31" s="449"/>
      <c r="AS31" s="449"/>
      <c r="AT31" s="450"/>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row>
    <row r="32" spans="1:80" ht="15" customHeight="1" x14ac:dyDescent="0.55000000000000004">
      <c r="A32" s="42"/>
      <c r="B32" s="416"/>
      <c r="C32" s="416"/>
      <c r="D32" s="417"/>
      <c r="E32" s="457"/>
      <c r="F32" s="458"/>
      <c r="G32" s="458"/>
      <c r="H32" s="458"/>
      <c r="I32" s="471"/>
      <c r="J32" s="518" t="str">
        <f>IF(AND('Mapa final'!$O$17="Baja",'Mapa final'!$S$17="Leve"),CONCATENATE("R",'Mapa final'!$A$17),"")</f>
        <v/>
      </c>
      <c r="K32" s="519"/>
      <c r="L32" s="516" t="str">
        <f>IF(AND('Mapa final'!$O$19="Baja",'Mapa final'!$S$19="Leve"),CONCATENATE("R",'Mapa final'!$A$19),"")</f>
        <v/>
      </c>
      <c r="M32" s="516"/>
      <c r="N32" s="516" t="str">
        <f>IF(AND('Mapa final'!$O$23="Baja",'Mapa final'!$S$23="Leve"),CONCATENATE("R",'Mapa final'!$A$23),"")</f>
        <v/>
      </c>
      <c r="O32" s="517"/>
      <c r="P32" s="503" t="str">
        <f>IF(AND('Mapa final'!$O$17="Baja",'Mapa final'!$S$17="Menor"),CONCATENATE("R",'Mapa final'!$A$17),"")</f>
        <v/>
      </c>
      <c r="Q32" s="503"/>
      <c r="R32" s="503" t="str">
        <f>IF(AND('Mapa final'!$O$19="Baja",'Mapa final'!$S$19="Menor"),CONCATENATE("R",'Mapa final'!$A$19),"")</f>
        <v/>
      </c>
      <c r="S32" s="503"/>
      <c r="T32" s="503" t="str">
        <f>IF(AND('Mapa final'!$O$23="Baja",'Mapa final'!$S$23="Menor"),CONCATENATE("R",'Mapa final'!$A$23),"")</f>
        <v/>
      </c>
      <c r="U32" s="504"/>
      <c r="V32" s="513" t="str">
        <f>IF(AND('Mapa final'!$O$17="Baja",'Mapa final'!$S$17="Moderado"),CONCATENATE("R",'Mapa final'!$A$17),"")</f>
        <v/>
      </c>
      <c r="W32" s="503"/>
      <c r="X32" s="503" t="str">
        <f>IF(AND('Mapa final'!$O$19="Baja",'Mapa final'!$S$19="Moderado"),CONCATENATE("R",'Mapa final'!$A$19),"")</f>
        <v/>
      </c>
      <c r="Y32" s="503"/>
      <c r="Z32" s="503" t="str">
        <f>IF(AND('Mapa final'!$O$23="Baja",'Mapa final'!$S$23="Moderado"),CONCATENATE("R",'Mapa final'!$A$23),"")</f>
        <v/>
      </c>
      <c r="AA32" s="504"/>
      <c r="AB32" s="475" t="str">
        <f>IF(AND('Mapa final'!$O$17="Baja",'Mapa final'!$S$17="Mayor"),CONCATENATE("R",'Mapa final'!$A$17),"")</f>
        <v/>
      </c>
      <c r="AC32" s="476"/>
      <c r="AD32" s="479" t="str">
        <f>IF(AND('Mapa final'!$O$19="Baja",'Mapa final'!$S$19="Mayor"),CONCATENATE("R",'Mapa final'!$A$19),"")</f>
        <v/>
      </c>
      <c r="AE32" s="479"/>
      <c r="AF32" s="479" t="str">
        <f>IF(AND('Mapa final'!$O$23="Baja",'Mapa final'!$S$23="Mayor"),CONCATENATE("R",'Mapa final'!$A$23),"")</f>
        <v/>
      </c>
      <c r="AG32" s="478"/>
      <c r="AH32" s="483" t="str">
        <f>IF(AND('Mapa final'!$O$17="Baja",'Mapa final'!$S$17="Catastrófico"),CONCATENATE("R",'Mapa final'!$A$17),"")</f>
        <v/>
      </c>
      <c r="AI32" s="484"/>
      <c r="AJ32" s="484" t="str">
        <f>IF(AND('Mapa final'!$O$19="Baja",'Mapa final'!$S$19="Catastrófico"),CONCATENATE("R",'Mapa final'!$A$19),"")</f>
        <v/>
      </c>
      <c r="AK32" s="484"/>
      <c r="AL32" s="230" t="str">
        <f>IF(AND('Mapa final'!$O$23="Baja",'Mapa final'!$S$23="Catastrófico"),CONCATENATE("R",'Mapa final'!$A$23),"")</f>
        <v/>
      </c>
      <c r="AM32" s="231"/>
      <c r="AN32" s="42"/>
      <c r="AO32" s="448"/>
      <c r="AP32" s="449"/>
      <c r="AQ32" s="449"/>
      <c r="AR32" s="449"/>
      <c r="AS32" s="449"/>
      <c r="AT32" s="450"/>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row>
    <row r="33" spans="1:80" ht="15" customHeight="1" x14ac:dyDescent="0.55000000000000004">
      <c r="A33" s="42"/>
      <c r="B33" s="416"/>
      <c r="C33" s="416"/>
      <c r="D33" s="417"/>
      <c r="E33" s="457"/>
      <c r="F33" s="458"/>
      <c r="G33" s="458"/>
      <c r="H33" s="458"/>
      <c r="I33" s="471"/>
      <c r="J33" s="518"/>
      <c r="K33" s="519"/>
      <c r="L33" s="516"/>
      <c r="M33" s="516"/>
      <c r="N33" s="516"/>
      <c r="O33" s="517"/>
      <c r="P33" s="503"/>
      <c r="Q33" s="503"/>
      <c r="R33" s="503"/>
      <c r="S33" s="503"/>
      <c r="T33" s="503"/>
      <c r="U33" s="504"/>
      <c r="V33" s="513"/>
      <c r="W33" s="503"/>
      <c r="X33" s="503"/>
      <c r="Y33" s="503"/>
      <c r="Z33" s="503"/>
      <c r="AA33" s="504"/>
      <c r="AB33" s="475"/>
      <c r="AC33" s="476"/>
      <c r="AD33" s="479"/>
      <c r="AE33" s="479"/>
      <c r="AF33" s="479"/>
      <c r="AG33" s="478"/>
      <c r="AH33" s="483"/>
      <c r="AI33" s="484"/>
      <c r="AJ33" s="484"/>
      <c r="AK33" s="484"/>
      <c r="AL33" s="230"/>
      <c r="AM33" s="231"/>
      <c r="AN33" s="42"/>
      <c r="AO33" s="448"/>
      <c r="AP33" s="449"/>
      <c r="AQ33" s="449"/>
      <c r="AR33" s="449"/>
      <c r="AS33" s="449"/>
      <c r="AT33" s="450"/>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row>
    <row r="34" spans="1:80" ht="15" customHeight="1" x14ac:dyDescent="0.55000000000000004">
      <c r="A34" s="42"/>
      <c r="B34" s="416"/>
      <c r="C34" s="416"/>
      <c r="D34" s="417"/>
      <c r="E34" s="457"/>
      <c r="F34" s="458"/>
      <c r="G34" s="458"/>
      <c r="H34" s="458"/>
      <c r="I34" s="471"/>
      <c r="J34" s="518" t="str">
        <f>IF(AND('Mapa final'!$O$26="Baja",'Mapa final'!$S$26="Leve"),CONCATENATE("R",'Mapa final'!$A$26),"")</f>
        <v/>
      </c>
      <c r="K34" s="519"/>
      <c r="L34" s="516" t="str">
        <f>IF(AND('Mapa final'!$O$28="Baja",'Mapa final'!$S$28="Leve"),CONCATENATE("R",'Mapa final'!$A$28),"")</f>
        <v/>
      </c>
      <c r="M34" s="516"/>
      <c r="N34" s="516" t="str">
        <f>IF(AND('Mapa final'!$O$30="Baja",'Mapa final'!$S$30="Leve"),CONCATENATE("R",'Mapa final'!$A$30),"")</f>
        <v/>
      </c>
      <c r="O34" s="517"/>
      <c r="P34" s="503" t="str">
        <f>IF(AND('Mapa final'!$O$26="Baja",'Mapa final'!$S$26="Menor"),CONCATENATE("R",'Mapa final'!$A$26),"")</f>
        <v/>
      </c>
      <c r="Q34" s="503"/>
      <c r="R34" s="503" t="str">
        <f>IF(AND('Mapa final'!$O$28="Baja",'Mapa final'!$S$28="Menor"),CONCATENATE("R",'Mapa final'!$A$28),"")</f>
        <v/>
      </c>
      <c r="S34" s="503"/>
      <c r="T34" s="503" t="str">
        <f>IF(AND('Mapa final'!$O$30="Baja",'Mapa final'!$S$30="Menor"),CONCATENATE("R",'Mapa final'!$A$30),"")</f>
        <v>RG8</v>
      </c>
      <c r="U34" s="504"/>
      <c r="V34" s="513" t="str">
        <f>IF(AND('Mapa final'!$O$26="Baja",'Mapa final'!$S$26="Moderado"),CONCATENATE("R",'Mapa final'!$A$26),"")</f>
        <v>RG6</v>
      </c>
      <c r="W34" s="503"/>
      <c r="X34" s="503" t="str">
        <f>IF(AND('Mapa final'!$O$28="Baja",'Mapa final'!$S$28="Moderado"),CONCATENATE("R",'Mapa final'!$A$28),"")</f>
        <v/>
      </c>
      <c r="Y34" s="503"/>
      <c r="Z34" s="503" t="str">
        <f>IF(AND('Mapa final'!$O$30="Baja",'Mapa final'!$S$30="Moderado"),CONCATENATE("R",'Mapa final'!$A$30),"")</f>
        <v/>
      </c>
      <c r="AA34" s="504"/>
      <c r="AB34" s="475" t="str">
        <f>IF(AND('Mapa final'!$O$26="Baja",'Mapa final'!$S$26="Mayor"),CONCATENATE("R",'Mapa final'!$A$26),"")</f>
        <v/>
      </c>
      <c r="AC34" s="476"/>
      <c r="AD34" s="479" t="str">
        <f>IF(AND('Mapa final'!$O$28="Baja",'Mapa final'!$S$28="Mayor"),CONCATENATE("R",'Mapa final'!$A$28),"")</f>
        <v/>
      </c>
      <c r="AE34" s="479"/>
      <c r="AF34" s="479" t="str">
        <f>IF(AND('Mapa final'!$O$30="Baja",'Mapa final'!$S$30="Mayor"),CONCATENATE("R",'Mapa final'!$A$30),"")</f>
        <v/>
      </c>
      <c r="AG34" s="478"/>
      <c r="AH34" s="483" t="str">
        <f>IF(AND('Mapa final'!$O$26="Baja",'Mapa final'!$S$26="Catastrófico"),CONCATENATE("R",'Mapa final'!$A$26),"")</f>
        <v/>
      </c>
      <c r="AI34" s="484"/>
      <c r="AJ34" s="484" t="str">
        <f>IF(AND('Mapa final'!$O$28="Baja",'Mapa final'!$S$28="Catastrófico"),CONCATENATE("R",'Mapa final'!$A$28),"")</f>
        <v/>
      </c>
      <c r="AK34" s="484"/>
      <c r="AL34" s="230" t="str">
        <f>IF(AND('Mapa final'!$O$30="Baja",'Mapa final'!$S$30="Catastrófico"),CONCATENATE("R",'Mapa final'!$A$30),"")</f>
        <v/>
      </c>
      <c r="AM34" s="231"/>
      <c r="AN34" s="42"/>
      <c r="AO34" s="448"/>
      <c r="AP34" s="449"/>
      <c r="AQ34" s="449"/>
      <c r="AR34" s="449"/>
      <c r="AS34" s="449"/>
      <c r="AT34" s="450"/>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row>
    <row r="35" spans="1:80" ht="33.75" customHeight="1" x14ac:dyDescent="0.55000000000000004">
      <c r="A35" s="42"/>
      <c r="B35" s="416"/>
      <c r="C35" s="416"/>
      <c r="D35" s="417"/>
      <c r="E35" s="457"/>
      <c r="F35" s="458"/>
      <c r="G35" s="458"/>
      <c r="H35" s="458"/>
      <c r="I35" s="471"/>
      <c r="J35" s="518"/>
      <c r="K35" s="519"/>
      <c r="L35" s="516"/>
      <c r="M35" s="516"/>
      <c r="N35" s="516"/>
      <c r="O35" s="517"/>
      <c r="P35" s="503"/>
      <c r="Q35" s="503"/>
      <c r="R35" s="503"/>
      <c r="S35" s="503"/>
      <c r="T35" s="503"/>
      <c r="U35" s="504"/>
      <c r="V35" s="513"/>
      <c r="W35" s="503"/>
      <c r="X35" s="503"/>
      <c r="Y35" s="503"/>
      <c r="Z35" s="503"/>
      <c r="AA35" s="504"/>
      <c r="AB35" s="475"/>
      <c r="AC35" s="476"/>
      <c r="AD35" s="479"/>
      <c r="AE35" s="479"/>
      <c r="AF35" s="479"/>
      <c r="AG35" s="478"/>
      <c r="AH35" s="483"/>
      <c r="AI35" s="484"/>
      <c r="AJ35" s="484"/>
      <c r="AK35" s="484"/>
      <c r="AL35" s="230"/>
      <c r="AM35" s="231" t="str">
        <f>IF(AND('Mapa final'!$O$37="Baja",'Mapa final'!$S$37="Catastrófico"),CONCATENATE("R",'Mapa final'!$A$37),"")</f>
        <v>RG11</v>
      </c>
      <c r="AN35" s="42"/>
      <c r="AO35" s="448"/>
      <c r="AP35" s="449"/>
      <c r="AQ35" s="449"/>
      <c r="AR35" s="449"/>
      <c r="AS35" s="449"/>
      <c r="AT35" s="450"/>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row>
    <row r="36" spans="1:80" ht="15" customHeight="1" x14ac:dyDescent="0.55000000000000004">
      <c r="A36" s="42"/>
      <c r="B36" s="416"/>
      <c r="C36" s="416"/>
      <c r="D36" s="417"/>
      <c r="E36" s="457"/>
      <c r="F36" s="458"/>
      <c r="G36" s="458"/>
      <c r="H36" s="458"/>
      <c r="I36" s="471"/>
      <c r="J36" s="518" t="str">
        <f>IF(AND('Mapa final'!$O$33="Baja",'Mapa final'!$S$33="Leve"),CONCATENATE("R",'Mapa final'!$A$33),"")</f>
        <v/>
      </c>
      <c r="K36" s="519"/>
      <c r="L36" s="516" t="str">
        <f>IF(AND('Mapa final'!$O$35="Baja",'Mapa final'!$S$35="Leve"),CONCATENATE("R",'Mapa final'!$A$35),"")</f>
        <v/>
      </c>
      <c r="M36" s="516"/>
      <c r="N36" s="516"/>
      <c r="O36" s="517"/>
      <c r="P36" s="503" t="str">
        <f>IF(AND('Mapa final'!$O$33="Baja",'Mapa final'!$S$33="Menor"),CONCATENATE("R",'Mapa final'!$A$33),"")</f>
        <v/>
      </c>
      <c r="Q36" s="503"/>
      <c r="R36" s="503" t="str">
        <f>IF(AND('Mapa final'!$O$35="Baja",'Mapa final'!$S$35="Menor"),CONCATENATE("R",'Mapa final'!$A$35),"")</f>
        <v/>
      </c>
      <c r="S36" s="503"/>
      <c r="T36" s="503" t="str">
        <f>IF(AND('Mapa final'!$O$46="Baja",'Mapa final'!$S$46="Media"),CONCATENATE("R",'Mapa final'!$A$46),"")</f>
        <v/>
      </c>
      <c r="U36" s="504"/>
      <c r="V36" s="513" t="str">
        <f>IF(AND('Mapa final'!$O$33="Baja",'Mapa final'!$S$33="Moderado"),CONCATENATE("R",'Mapa final'!$A$33),"")</f>
        <v/>
      </c>
      <c r="W36" s="503"/>
      <c r="X36" s="503" t="str">
        <f>IF(AND('Mapa final'!$O$35="Baja",'Mapa final'!$S$35="Moderado"),CONCATENATE("R",'Mapa final'!$A$35),"")</f>
        <v/>
      </c>
      <c r="Y36" s="503"/>
      <c r="Z36" s="503"/>
      <c r="AA36" s="504"/>
      <c r="AB36" s="475" t="str">
        <f>IF(AND('Mapa final'!$O$33="Baja",'Mapa final'!$S$33="Mayor"),CONCATENATE("R",'Mapa final'!$A$33),"")</f>
        <v/>
      </c>
      <c r="AC36" s="476"/>
      <c r="AD36" s="479" t="str">
        <f>IF(AND('Mapa final'!$O$35="Baja",'Mapa final'!$S$35="Mayor"),CONCATENATE("R",'Mapa final'!$A$35),"")</f>
        <v/>
      </c>
      <c r="AE36" s="479"/>
      <c r="AF36" s="479"/>
      <c r="AG36" s="478"/>
      <c r="AH36" s="483" t="str">
        <f>IF(AND('Mapa final'!$O$33="Baja",'Mapa final'!$S$33="Catastrófico"),CONCATENATE("R",'Mapa final'!$A$33),"")</f>
        <v/>
      </c>
      <c r="AI36" s="484"/>
      <c r="AJ36" s="484" t="str">
        <f>IF(AND('Mapa final'!$O$35="Baja",'Mapa final'!$S$35="Catastrófico"),CONCATENATE("R",'Mapa final'!$A$35),"")</f>
        <v/>
      </c>
      <c r="AK36" s="484"/>
      <c r="AL36" s="230"/>
      <c r="AM36" s="231"/>
      <c r="AN36" s="42"/>
      <c r="AO36" s="448"/>
      <c r="AP36" s="449"/>
      <c r="AQ36" s="449"/>
      <c r="AR36" s="449"/>
      <c r="AS36" s="449"/>
      <c r="AT36" s="450"/>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row>
    <row r="37" spans="1:80" ht="15.75" customHeight="1" thickBot="1" x14ac:dyDescent="0.6">
      <c r="A37" s="42"/>
      <c r="B37" s="416"/>
      <c r="C37" s="416"/>
      <c r="D37" s="417"/>
      <c r="E37" s="460"/>
      <c r="F37" s="461"/>
      <c r="G37" s="461"/>
      <c r="H37" s="461"/>
      <c r="I37" s="461"/>
      <c r="J37" s="520"/>
      <c r="K37" s="521"/>
      <c r="L37" s="522"/>
      <c r="M37" s="522"/>
      <c r="N37" s="522"/>
      <c r="O37" s="523"/>
      <c r="P37" s="507"/>
      <c r="Q37" s="507"/>
      <c r="R37" s="507"/>
      <c r="S37" s="507"/>
      <c r="T37" s="503"/>
      <c r="U37" s="504"/>
      <c r="V37" s="514"/>
      <c r="W37" s="507"/>
      <c r="X37" s="507"/>
      <c r="Y37" s="507"/>
      <c r="Z37" s="507"/>
      <c r="AA37" s="508"/>
      <c r="AB37" s="480"/>
      <c r="AC37" s="481"/>
      <c r="AD37" s="481"/>
      <c r="AE37" s="481"/>
      <c r="AF37" s="481"/>
      <c r="AG37" s="482"/>
      <c r="AH37" s="486"/>
      <c r="AI37" s="487"/>
      <c r="AJ37" s="487"/>
      <c r="AK37" s="487"/>
      <c r="AL37" s="232"/>
      <c r="AM37" s="233"/>
      <c r="AN37" s="42"/>
      <c r="AO37" s="451"/>
      <c r="AP37" s="452"/>
      <c r="AQ37" s="452"/>
      <c r="AR37" s="452"/>
      <c r="AS37" s="452"/>
      <c r="AT37" s="453"/>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row>
    <row r="38" spans="1:80" x14ac:dyDescent="0.25">
      <c r="A38" s="42"/>
      <c r="B38" s="416"/>
      <c r="C38" s="416"/>
      <c r="D38" s="417"/>
      <c r="E38" s="454" t="s">
        <v>111</v>
      </c>
      <c r="F38" s="455"/>
      <c r="G38" s="455"/>
      <c r="H38" s="455"/>
      <c r="I38" s="456"/>
      <c r="J38" s="524" t="str">
        <f>IF(AND('Mapa final'!$O$15="Muy Baja",'Mapa final'!$S$15="Leve"),CONCATENATE("R",'Mapa final'!$A$15),"")</f>
        <v/>
      </c>
      <c r="K38" s="525"/>
      <c r="L38" s="526"/>
      <c r="M38" s="526"/>
      <c r="N38" s="526" t="str">
        <f>IF(AND('Mapa final'!$O$16="Muy Baja",'Mapa final'!$S$16="Leve"),CONCATENATE("R",'Mapa final'!$A$16),"")</f>
        <v/>
      </c>
      <c r="O38" s="527"/>
      <c r="P38" s="531" t="str">
        <f>IF(AND('Mapa final'!$O$15="Muy Baja",'Mapa final'!$S$15="Menor"),CONCATENATE("R",'Mapa final'!$A$15),"")</f>
        <v/>
      </c>
      <c r="Q38" s="526"/>
      <c r="R38" s="526"/>
      <c r="S38" s="526"/>
      <c r="T38" s="526" t="str">
        <f>IF(AND('Mapa final'!$O$16="Muy Baja",'Mapa final'!$S$16="Menor"),CONCATENATE("R",'Mapa final'!$A$16),"")</f>
        <v/>
      </c>
      <c r="U38" s="527"/>
      <c r="V38" s="515" t="str">
        <f>IF(AND('Mapa final'!$O$15="Muy Baja",'Mapa final'!$S$15="Moderado"),CONCATENATE("R",'Mapa final'!$A$15),"")</f>
        <v/>
      </c>
      <c r="W38" s="511"/>
      <c r="X38" s="511"/>
      <c r="Y38" s="511"/>
      <c r="Z38" s="511" t="str">
        <f>IF(AND('Mapa final'!$O$16="Muy Baja",'Mapa final'!$S$16="Moderado"),CONCATENATE("R",'Mapa final'!$A$16),"")</f>
        <v/>
      </c>
      <c r="AA38" s="512"/>
      <c r="AB38" s="473" t="str">
        <f>IF(AND('Mapa final'!$O$15="Muy Baja",'Mapa final'!$S$15="Mayor"),CONCATENATE("R",'Mapa final'!$A$15),"")</f>
        <v/>
      </c>
      <c r="AC38" s="474"/>
      <c r="AD38" s="474"/>
      <c r="AE38" s="474"/>
      <c r="AF38" s="474" t="str">
        <f>IF(AND('Mapa final'!$O$16="Muy Baja",'Mapa final'!$S$16="Mayor"),CONCATENATE("R",'Mapa final'!$A$16),"")</f>
        <v/>
      </c>
      <c r="AG38" s="477"/>
      <c r="AH38" s="489" t="str">
        <f>IF(AND('Mapa final'!$O$15="Muy Baja",'Mapa final'!$S$15="Catastrófico"),CONCATENATE("R",'Mapa final'!$A$15),"")</f>
        <v/>
      </c>
      <c r="AI38" s="490"/>
      <c r="AJ38" s="490"/>
      <c r="AK38" s="490"/>
      <c r="AL38" s="490" t="str">
        <f>IF(AND('Mapa final'!$O$16="Muy Baja",'Mapa final'!$S$16="Catastrófico"),CONCATENATE("R",'Mapa final'!$A$16),"")</f>
        <v/>
      </c>
      <c r="AM38" s="491"/>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row>
    <row r="39" spans="1:80" x14ac:dyDescent="0.25">
      <c r="A39" s="42"/>
      <c r="B39" s="416"/>
      <c r="C39" s="416"/>
      <c r="D39" s="417"/>
      <c r="E39" s="457"/>
      <c r="F39" s="458"/>
      <c r="G39" s="458"/>
      <c r="H39" s="458"/>
      <c r="I39" s="459"/>
      <c r="J39" s="518"/>
      <c r="K39" s="519"/>
      <c r="L39" s="516"/>
      <c r="M39" s="516"/>
      <c r="N39" s="516"/>
      <c r="O39" s="517"/>
      <c r="P39" s="529"/>
      <c r="Q39" s="516"/>
      <c r="R39" s="516"/>
      <c r="S39" s="516"/>
      <c r="T39" s="516"/>
      <c r="U39" s="517"/>
      <c r="V39" s="513"/>
      <c r="W39" s="503"/>
      <c r="X39" s="503"/>
      <c r="Y39" s="503"/>
      <c r="Z39" s="503"/>
      <c r="AA39" s="504"/>
      <c r="AB39" s="475"/>
      <c r="AC39" s="476"/>
      <c r="AD39" s="476"/>
      <c r="AE39" s="476"/>
      <c r="AF39" s="476"/>
      <c r="AG39" s="478"/>
      <c r="AH39" s="483"/>
      <c r="AI39" s="484"/>
      <c r="AJ39" s="484"/>
      <c r="AK39" s="484"/>
      <c r="AL39" s="484"/>
      <c r="AM39" s="485"/>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row>
    <row r="40" spans="1:80" x14ac:dyDescent="0.25">
      <c r="A40" s="42"/>
      <c r="B40" s="416"/>
      <c r="C40" s="416"/>
      <c r="D40" s="417"/>
      <c r="E40" s="457"/>
      <c r="F40" s="458"/>
      <c r="G40" s="458"/>
      <c r="H40" s="458"/>
      <c r="I40" s="459"/>
      <c r="J40" s="529" t="str">
        <f>IF(AND('Mapa final'!$O$17="Muy Baja",'Mapa final'!$S$17="Leve"),CONCATENATE("R",'Mapa final'!$A$17),"")</f>
        <v>RG3</v>
      </c>
      <c r="K40" s="516"/>
      <c r="L40" s="516" t="str">
        <f>IF(AND('Mapa final'!$O$19="Muy Baja",'Mapa final'!$S$19="Leve"),CONCATENATE("R",'Mapa final'!$A$19),"")</f>
        <v/>
      </c>
      <c r="M40" s="516"/>
      <c r="N40" s="516" t="str">
        <f>IF(AND('Mapa final'!$O$23="Muy Baja",'Mapa final'!$S$23="Leve"),CONCATENATE("R",'Mapa final'!$A$23),"")</f>
        <v/>
      </c>
      <c r="O40" s="517"/>
      <c r="P40" s="529" t="str">
        <f>IF(AND('Mapa final'!$O$17="Muy Baja",'Mapa final'!$S$17="Menor"),CONCATENATE("R",'Mapa final'!$A$17),"")</f>
        <v/>
      </c>
      <c r="Q40" s="516"/>
      <c r="R40" s="516" t="str">
        <f>IF(AND('Mapa final'!$O$19="Muy Baja",'Mapa final'!$S$19="Menor"),CONCATENATE("R",'Mapa final'!$A$19),"")</f>
        <v/>
      </c>
      <c r="S40" s="516"/>
      <c r="T40" s="516" t="str">
        <f>IF(AND('Mapa final'!$O$23="Muy Baja",'Mapa final'!$S$23="Menor"),CONCATENATE("R",'Mapa final'!$A$23),"")</f>
        <v/>
      </c>
      <c r="U40" s="517"/>
      <c r="V40" s="513" t="str">
        <f>IF(AND('Mapa final'!$O$17="Muy Baja",'Mapa final'!$S$17="Moderado"),CONCATENATE("R",'Mapa final'!$A$17),"")</f>
        <v/>
      </c>
      <c r="W40" s="503"/>
      <c r="X40" s="503" t="str">
        <f>IF(AND('Mapa final'!$O$19="Muy Baja",'Mapa final'!$S$19="Moderado"),CONCATENATE("R",'Mapa final'!$A$19),"")</f>
        <v/>
      </c>
      <c r="Y40" s="503"/>
      <c r="Z40" s="503" t="str">
        <f>IF(AND('Mapa final'!$O$23="Muy Baja",'Mapa final'!$S$23="Moderado"),CONCATENATE("R",'Mapa final'!$A$23),"")</f>
        <v/>
      </c>
      <c r="AA40" s="504"/>
      <c r="AB40" s="475" t="str">
        <f>IF(AND('Mapa final'!$O$17="Muy Baja",'Mapa final'!$S$17="Mayor"),CONCATENATE("R",'Mapa final'!$A$17),"")</f>
        <v/>
      </c>
      <c r="AC40" s="476"/>
      <c r="AD40" s="479" t="str">
        <f>IF(AND('Mapa final'!$O$19="Muy Baja",'Mapa final'!$S$19="Mayor"),CONCATENATE("R",'Mapa final'!$A$19),"")</f>
        <v/>
      </c>
      <c r="AE40" s="479"/>
      <c r="AF40" s="479" t="str">
        <f>IF(AND('Mapa final'!$O$23="Muy Baja",'Mapa final'!$S$23="Mayor"),CONCATENATE("R",'Mapa final'!$A$23),"")</f>
        <v/>
      </c>
      <c r="AG40" s="478"/>
      <c r="AH40" s="483" t="str">
        <f>IF(AND('Mapa final'!$O$17="Muy Baja",'Mapa final'!$S$17="Catastrófico"),CONCATENATE("R",'Mapa final'!$A$17),"")</f>
        <v/>
      </c>
      <c r="AI40" s="484"/>
      <c r="AJ40" s="484" t="str">
        <f>IF(AND('Mapa final'!$O$19="Muy Baja",'Mapa final'!$S$19="Catastrófico"),CONCATENATE("R",'Mapa final'!$A$19),"")</f>
        <v/>
      </c>
      <c r="AK40" s="484"/>
      <c r="AL40" s="484" t="str">
        <f>IF(AND('Mapa final'!$O$23="Muy Baja",'Mapa final'!$S$23="Catastrófico"),CONCATENATE("R",'Mapa final'!$A$23),"")</f>
        <v/>
      </c>
      <c r="AM40" s="485"/>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row>
    <row r="41" spans="1:80" x14ac:dyDescent="0.25">
      <c r="A41" s="42"/>
      <c r="B41" s="416"/>
      <c r="C41" s="416"/>
      <c r="D41" s="417"/>
      <c r="E41" s="457"/>
      <c r="F41" s="458"/>
      <c r="G41" s="458"/>
      <c r="H41" s="458"/>
      <c r="I41" s="459"/>
      <c r="J41" s="529"/>
      <c r="K41" s="516"/>
      <c r="L41" s="516"/>
      <c r="M41" s="516"/>
      <c r="N41" s="516"/>
      <c r="O41" s="517"/>
      <c r="P41" s="529"/>
      <c r="Q41" s="516"/>
      <c r="R41" s="516"/>
      <c r="S41" s="516"/>
      <c r="T41" s="516"/>
      <c r="U41" s="517"/>
      <c r="V41" s="513"/>
      <c r="W41" s="503"/>
      <c r="X41" s="503"/>
      <c r="Y41" s="503"/>
      <c r="Z41" s="503"/>
      <c r="AA41" s="504"/>
      <c r="AB41" s="475"/>
      <c r="AC41" s="476"/>
      <c r="AD41" s="479"/>
      <c r="AE41" s="479"/>
      <c r="AF41" s="479"/>
      <c r="AG41" s="478"/>
      <c r="AH41" s="483"/>
      <c r="AI41" s="484"/>
      <c r="AJ41" s="484"/>
      <c r="AK41" s="484"/>
      <c r="AL41" s="484"/>
      <c r="AM41" s="485"/>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row>
    <row r="42" spans="1:80" x14ac:dyDescent="0.25">
      <c r="A42" s="42"/>
      <c r="B42" s="416"/>
      <c r="C42" s="416"/>
      <c r="D42" s="417"/>
      <c r="E42" s="457"/>
      <c r="F42" s="458"/>
      <c r="G42" s="458"/>
      <c r="H42" s="458"/>
      <c r="I42" s="459"/>
      <c r="J42" s="518" t="str">
        <f>IF(AND('Mapa final'!$O$26="Muy Baja",'Mapa final'!$S$26="Leve"),CONCATENATE("R",'Mapa final'!$A$26),"")</f>
        <v/>
      </c>
      <c r="K42" s="519"/>
      <c r="L42" s="516" t="str">
        <f>IF(AND('Mapa final'!$O$28="Muy Baja",'Mapa final'!$S$28="Leve"),CONCATENATE("R",'Mapa final'!$A$28),"")</f>
        <v/>
      </c>
      <c r="M42" s="516"/>
      <c r="N42" s="516" t="str">
        <f>IF(AND('Mapa final'!$O$30="Muy Baja",'Mapa final'!$S$30="Leve"),CONCATENATE("R",'Mapa final'!$A$30),"")</f>
        <v/>
      </c>
      <c r="O42" s="517"/>
      <c r="P42" s="529" t="str">
        <f>IF(AND('Mapa final'!$O$26="Muy Baja",'Mapa final'!$S$26="Menor"),CONCATENATE("R",'Mapa final'!$A$26),"")</f>
        <v/>
      </c>
      <c r="Q42" s="516"/>
      <c r="R42" s="516" t="str">
        <f>IF(AND('Mapa final'!$O$28="Muy Baja",'Mapa final'!$S$28="Menor"),CONCATENATE("R",'Mapa final'!$A$28),"")</f>
        <v/>
      </c>
      <c r="S42" s="516"/>
      <c r="T42" s="516" t="str">
        <f>IF(AND('Mapa final'!$O$30="Muy Baja",'Mapa final'!$S$30="Menor"),CONCATENATE("R",'Mapa final'!$A$30),"")</f>
        <v/>
      </c>
      <c r="U42" s="517"/>
      <c r="V42" s="513" t="str">
        <f>IF(AND('Mapa final'!$O$26="Muy Baja",'Mapa final'!$S$26="Moderado"),CONCATENATE("R",'Mapa final'!$A$26),"")</f>
        <v/>
      </c>
      <c r="W42" s="503"/>
      <c r="X42" s="503" t="str">
        <f>IF(AND('Mapa final'!$O$28="Muy Baja",'Mapa final'!$S$28="Moderado"),CONCATENATE("R",'Mapa final'!$A$28),"")</f>
        <v/>
      </c>
      <c r="Y42" s="503"/>
      <c r="Z42" s="503" t="str">
        <f>IF(AND('Mapa final'!$O$30="Muy Baja",'Mapa final'!$S$30="Moderado"),CONCATENATE("R",'Mapa final'!$A$30),"")</f>
        <v/>
      </c>
      <c r="AA42" s="504"/>
      <c r="AB42" s="475" t="str">
        <f>IF(AND('Mapa final'!$O$26="Muy Baja",'Mapa final'!$S$26="Mayor"),CONCATENATE("R",'Mapa final'!$A$26),"")</f>
        <v/>
      </c>
      <c r="AC42" s="476"/>
      <c r="AD42" s="479" t="str">
        <f>IF(AND('Mapa final'!$O$28="Muy Baja",'Mapa final'!$S$28="Mayor"),CONCATENATE("R",'Mapa final'!$A$28),"")</f>
        <v/>
      </c>
      <c r="AE42" s="479"/>
      <c r="AF42" s="479" t="str">
        <f>IF(AND('Mapa final'!$O$30="Muy Baja",'Mapa final'!$S$30="Mayor"),CONCATENATE("R",'Mapa final'!$A$30),"")</f>
        <v/>
      </c>
      <c r="AG42" s="478"/>
      <c r="AH42" s="483" t="str">
        <f>IF(AND('Mapa final'!$O$26="Muy Baja",'Mapa final'!$S$26="Catastrófico"),CONCATENATE("R",'Mapa final'!$A$26),"")</f>
        <v/>
      </c>
      <c r="AI42" s="484"/>
      <c r="AJ42" s="484" t="str">
        <f>IF(AND('Mapa final'!$O$28="Muy Baja",'Mapa final'!$S$28="Catastrófico"),CONCATENATE("R",'Mapa final'!$A$28),"")</f>
        <v/>
      </c>
      <c r="AK42" s="484"/>
      <c r="AL42" s="484" t="str">
        <f>IF(AND('Mapa final'!$O$30="Muy Baja",'Mapa final'!$S$30="Catastrófico"),CONCATENATE("R",'Mapa final'!$A$30),"")</f>
        <v/>
      </c>
      <c r="AM42" s="485"/>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row>
    <row r="43" spans="1:80" x14ac:dyDescent="0.25">
      <c r="A43" s="42"/>
      <c r="B43" s="416"/>
      <c r="C43" s="416"/>
      <c r="D43" s="417"/>
      <c r="E43" s="457"/>
      <c r="F43" s="458"/>
      <c r="G43" s="458"/>
      <c r="H43" s="458"/>
      <c r="I43" s="459"/>
      <c r="J43" s="518"/>
      <c r="K43" s="519"/>
      <c r="L43" s="516"/>
      <c r="M43" s="516"/>
      <c r="N43" s="516"/>
      <c r="O43" s="517"/>
      <c r="P43" s="529"/>
      <c r="Q43" s="516"/>
      <c r="R43" s="516"/>
      <c r="S43" s="516"/>
      <c r="T43" s="516"/>
      <c r="U43" s="517"/>
      <c r="V43" s="513"/>
      <c r="W43" s="503"/>
      <c r="X43" s="503"/>
      <c r="Y43" s="503"/>
      <c r="Z43" s="503"/>
      <c r="AA43" s="504"/>
      <c r="AB43" s="475"/>
      <c r="AC43" s="476"/>
      <c r="AD43" s="479"/>
      <c r="AE43" s="479"/>
      <c r="AF43" s="479"/>
      <c r="AG43" s="478"/>
      <c r="AH43" s="483"/>
      <c r="AI43" s="484"/>
      <c r="AJ43" s="484"/>
      <c r="AK43" s="484"/>
      <c r="AL43" s="484"/>
      <c r="AM43" s="485"/>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row>
    <row r="44" spans="1:80" ht="15" customHeight="1" x14ac:dyDescent="0.25">
      <c r="A44" s="42"/>
      <c r="B44" s="416"/>
      <c r="C44" s="416"/>
      <c r="D44" s="417"/>
      <c r="E44" s="457"/>
      <c r="F44" s="458"/>
      <c r="G44" s="458"/>
      <c r="H44" s="458"/>
      <c r="I44" s="459"/>
      <c r="J44" s="518" t="str">
        <f>IF(AND('Mapa final'!$O$33="Muy Baja",'Mapa final'!$S$33="Leve"),CONCATENATE("R",'Mapa final'!$A$33),"")</f>
        <v/>
      </c>
      <c r="K44" s="519"/>
      <c r="L44" s="516" t="str">
        <f>IF(AND('Mapa final'!$O$35="Muy Baja",'Mapa final'!$S$35="Leve"),CONCATENATE("R",'Mapa final'!$A$35),"")</f>
        <v/>
      </c>
      <c r="M44" s="516"/>
      <c r="N44" s="516"/>
      <c r="O44" s="517"/>
      <c r="P44" s="529" t="str">
        <f>IF(AND('Mapa final'!$O$33="Muy Baja",'Mapa final'!$S$33="Menor"),CONCATENATE("R",'Mapa final'!$A$33),"")</f>
        <v/>
      </c>
      <c r="Q44" s="516"/>
      <c r="R44" s="516" t="str">
        <f>IF(AND('Mapa final'!$O$35="Muy Baja",'Mapa final'!$S$35="Menor"),CONCATENATE("R",'Mapa final'!$A$35),"")</f>
        <v/>
      </c>
      <c r="S44" s="516"/>
      <c r="T44" s="516" t="str">
        <f>IF(AND('Mapa final'!$O$54="Muy Baja",'Mapa final'!$S$54="Menor"),CONCATENATE("R",'Mapa final'!$A$54),"")</f>
        <v>RG18</v>
      </c>
      <c r="U44" s="516"/>
      <c r="V44" s="513" t="str">
        <f>IF(AND('Mapa final'!$O$33="Muy Baja",'Mapa final'!$S$33="Moderado"),CONCATENATE("R",'Mapa final'!$A$33),"")</f>
        <v/>
      </c>
      <c r="W44" s="503"/>
      <c r="X44" s="503" t="str">
        <f>IF(AND('Mapa final'!$O$35="Muy Baja",'Mapa final'!$S$35="Moderado"),CONCATENATE("R",'Mapa final'!$A$35),"")</f>
        <v/>
      </c>
      <c r="Y44" s="503"/>
      <c r="Z44" s="503" t="str">
        <f>IF(AND('Mapa final'!$O$60="Muy Baja",'Mapa final'!$S$60="Moderado"),CONCATENATE("R",'Mapa final'!$A$60),"")</f>
        <v>RG21</v>
      </c>
      <c r="AA44" s="503"/>
      <c r="AB44" s="475" t="str">
        <f>IF(AND('Mapa final'!$O$33="Muy Baja",'Mapa final'!$S$33="Mayor"),CONCATENATE("R",'Mapa final'!$A$33),"")</f>
        <v/>
      </c>
      <c r="AC44" s="476"/>
      <c r="AD44" s="479" t="str">
        <f>IF(AND('Mapa final'!$O$35="Muy Baja",'Mapa final'!$S$35="Mayor"),CONCATENATE("R",'Mapa final'!$A$35),"")</f>
        <v/>
      </c>
      <c r="AE44" s="479"/>
      <c r="AF44" s="479"/>
      <c r="AG44" s="478"/>
      <c r="AH44" s="483" t="str">
        <f>IF(AND('Mapa final'!$O$33="Muy Baja",'Mapa final'!$S$33="Catastrófico"),CONCATENATE("R",'Mapa final'!$A$33),"")</f>
        <v/>
      </c>
      <c r="AI44" s="484"/>
      <c r="AJ44" s="484" t="str">
        <f>IF(AND('Mapa final'!$O$35="Muy Baja",'Mapa final'!$S$35="Catastrófico"),CONCATENATE("R",'Mapa final'!$A$35),"")</f>
        <v/>
      </c>
      <c r="AK44" s="484"/>
      <c r="AL44" s="484"/>
      <c r="AM44" s="485"/>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row>
    <row r="45" spans="1:80" ht="15.75" customHeight="1" thickBot="1" x14ac:dyDescent="0.3">
      <c r="A45" s="42"/>
      <c r="B45" s="416"/>
      <c r="C45" s="416"/>
      <c r="D45" s="417"/>
      <c r="E45" s="460"/>
      <c r="F45" s="461"/>
      <c r="G45" s="461"/>
      <c r="H45" s="461"/>
      <c r="I45" s="462"/>
      <c r="J45" s="520"/>
      <c r="K45" s="521"/>
      <c r="L45" s="522"/>
      <c r="M45" s="522"/>
      <c r="N45" s="522"/>
      <c r="O45" s="523"/>
      <c r="P45" s="530"/>
      <c r="Q45" s="522"/>
      <c r="R45" s="522"/>
      <c r="S45" s="522"/>
      <c r="T45" s="522"/>
      <c r="U45" s="522"/>
      <c r="V45" s="514"/>
      <c r="W45" s="507"/>
      <c r="X45" s="507"/>
      <c r="Y45" s="507"/>
      <c r="Z45" s="507"/>
      <c r="AA45" s="507"/>
      <c r="AB45" s="480"/>
      <c r="AC45" s="481"/>
      <c r="AD45" s="481"/>
      <c r="AE45" s="481"/>
      <c r="AF45" s="481"/>
      <c r="AG45" s="482"/>
      <c r="AH45" s="486"/>
      <c r="AI45" s="487"/>
      <c r="AJ45" s="487"/>
      <c r="AK45" s="487"/>
      <c r="AL45" s="487"/>
      <c r="AM45" s="488"/>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row>
    <row r="46" spans="1:80" x14ac:dyDescent="0.25">
      <c r="A46" s="42"/>
      <c r="B46" s="42"/>
      <c r="C46" s="42"/>
      <c r="D46" s="42"/>
      <c r="E46" s="42"/>
      <c r="F46" s="42"/>
      <c r="G46" s="42"/>
      <c r="H46" s="42"/>
      <c r="I46" s="42"/>
      <c r="J46" s="454" t="s">
        <v>110</v>
      </c>
      <c r="K46" s="455"/>
      <c r="L46" s="455"/>
      <c r="M46" s="455"/>
      <c r="N46" s="455"/>
      <c r="O46" s="456"/>
      <c r="P46" s="454" t="s">
        <v>109</v>
      </c>
      <c r="Q46" s="455"/>
      <c r="R46" s="455"/>
      <c r="S46" s="455"/>
      <c r="T46" s="455"/>
      <c r="U46" s="456"/>
      <c r="V46" s="454" t="s">
        <v>108</v>
      </c>
      <c r="W46" s="455"/>
      <c r="X46" s="455"/>
      <c r="Y46" s="455"/>
      <c r="Z46" s="455"/>
      <c r="AA46" s="456"/>
      <c r="AB46" s="454" t="s">
        <v>107</v>
      </c>
      <c r="AC46" s="472"/>
      <c r="AD46" s="455"/>
      <c r="AE46" s="455"/>
      <c r="AF46" s="455"/>
      <c r="AG46" s="456"/>
      <c r="AH46" s="454" t="s">
        <v>106</v>
      </c>
      <c r="AI46" s="455"/>
      <c r="AJ46" s="455"/>
      <c r="AK46" s="455"/>
      <c r="AL46" s="455"/>
      <c r="AM46" s="456"/>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row>
    <row r="47" spans="1:80" x14ac:dyDescent="0.25">
      <c r="A47" s="42"/>
      <c r="B47" s="42"/>
      <c r="C47" s="42"/>
      <c r="D47" s="42"/>
      <c r="E47" s="42"/>
      <c r="F47" s="42"/>
      <c r="G47" s="42"/>
      <c r="H47" s="42"/>
      <c r="I47" s="42"/>
      <c r="J47" s="457"/>
      <c r="K47" s="458"/>
      <c r="L47" s="458"/>
      <c r="M47" s="458"/>
      <c r="N47" s="458"/>
      <c r="O47" s="459"/>
      <c r="P47" s="457"/>
      <c r="Q47" s="458"/>
      <c r="R47" s="458"/>
      <c r="S47" s="458"/>
      <c r="T47" s="458"/>
      <c r="U47" s="459"/>
      <c r="V47" s="457"/>
      <c r="W47" s="458"/>
      <c r="X47" s="458"/>
      <c r="Y47" s="458"/>
      <c r="Z47" s="458"/>
      <c r="AA47" s="459"/>
      <c r="AB47" s="457"/>
      <c r="AC47" s="458"/>
      <c r="AD47" s="458"/>
      <c r="AE47" s="458"/>
      <c r="AF47" s="458"/>
      <c r="AG47" s="459"/>
      <c r="AH47" s="457"/>
      <c r="AI47" s="458"/>
      <c r="AJ47" s="458"/>
      <c r="AK47" s="458"/>
      <c r="AL47" s="458"/>
      <c r="AM47" s="459"/>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row>
    <row r="48" spans="1:80" x14ac:dyDescent="0.25">
      <c r="A48" s="42"/>
      <c r="B48" s="42"/>
      <c r="C48" s="42"/>
      <c r="D48" s="42"/>
      <c r="E48" s="42"/>
      <c r="F48" s="42"/>
      <c r="G48" s="42"/>
      <c r="H48" s="42"/>
      <c r="I48" s="42"/>
      <c r="J48" s="457"/>
      <c r="K48" s="458"/>
      <c r="L48" s="458"/>
      <c r="M48" s="458"/>
      <c r="N48" s="458"/>
      <c r="O48" s="459"/>
      <c r="P48" s="457"/>
      <c r="Q48" s="458"/>
      <c r="R48" s="458"/>
      <c r="S48" s="458"/>
      <c r="T48" s="458"/>
      <c r="U48" s="459"/>
      <c r="V48" s="457"/>
      <c r="W48" s="458"/>
      <c r="X48" s="458"/>
      <c r="Y48" s="458"/>
      <c r="Z48" s="458"/>
      <c r="AA48" s="459"/>
      <c r="AB48" s="457"/>
      <c r="AC48" s="458"/>
      <c r="AD48" s="458"/>
      <c r="AE48" s="458"/>
      <c r="AF48" s="458"/>
      <c r="AG48" s="459"/>
      <c r="AH48" s="457"/>
      <c r="AI48" s="458"/>
      <c r="AJ48" s="458"/>
      <c r="AK48" s="458"/>
      <c r="AL48" s="458"/>
      <c r="AM48" s="459"/>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row>
    <row r="49" spans="1:80" x14ac:dyDescent="0.25">
      <c r="A49" s="42"/>
      <c r="B49" s="42"/>
      <c r="C49" s="42"/>
      <c r="D49" s="42"/>
      <c r="E49" s="42"/>
      <c r="F49" s="42"/>
      <c r="G49" s="42"/>
      <c r="H49" s="42"/>
      <c r="I49" s="42"/>
      <c r="J49" s="457"/>
      <c r="K49" s="458"/>
      <c r="L49" s="458"/>
      <c r="M49" s="458"/>
      <c r="N49" s="458"/>
      <c r="O49" s="459"/>
      <c r="P49" s="457"/>
      <c r="Q49" s="458"/>
      <c r="R49" s="458"/>
      <c r="S49" s="458"/>
      <c r="T49" s="458"/>
      <c r="U49" s="459"/>
      <c r="V49" s="457"/>
      <c r="W49" s="458"/>
      <c r="X49" s="458"/>
      <c r="Y49" s="458"/>
      <c r="Z49" s="458"/>
      <c r="AA49" s="459"/>
      <c r="AB49" s="457"/>
      <c r="AC49" s="458"/>
      <c r="AD49" s="458"/>
      <c r="AE49" s="458"/>
      <c r="AF49" s="458"/>
      <c r="AG49" s="459"/>
      <c r="AH49" s="457"/>
      <c r="AI49" s="458"/>
      <c r="AJ49" s="458"/>
      <c r="AK49" s="458"/>
      <c r="AL49" s="458"/>
      <c r="AM49" s="459"/>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row>
    <row r="50" spans="1:80" x14ac:dyDescent="0.25">
      <c r="A50" s="42"/>
      <c r="B50" s="42"/>
      <c r="C50" s="42"/>
      <c r="D50" s="42"/>
      <c r="E50" s="42"/>
      <c r="F50" s="42"/>
      <c r="G50" s="42"/>
      <c r="H50" s="42"/>
      <c r="I50" s="42"/>
      <c r="J50" s="457"/>
      <c r="K50" s="458"/>
      <c r="L50" s="458"/>
      <c r="M50" s="458"/>
      <c r="N50" s="458"/>
      <c r="O50" s="459"/>
      <c r="P50" s="457"/>
      <c r="Q50" s="458"/>
      <c r="R50" s="458"/>
      <c r="S50" s="458"/>
      <c r="T50" s="458"/>
      <c r="U50" s="459"/>
      <c r="V50" s="457"/>
      <c r="W50" s="458"/>
      <c r="X50" s="458"/>
      <c r="Y50" s="458"/>
      <c r="Z50" s="458"/>
      <c r="AA50" s="459"/>
      <c r="AB50" s="457"/>
      <c r="AC50" s="458"/>
      <c r="AD50" s="458"/>
      <c r="AE50" s="458"/>
      <c r="AF50" s="458"/>
      <c r="AG50" s="459"/>
      <c r="AH50" s="457"/>
      <c r="AI50" s="458"/>
      <c r="AJ50" s="458"/>
      <c r="AK50" s="458"/>
      <c r="AL50" s="458"/>
      <c r="AM50" s="459"/>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row>
    <row r="51" spans="1:80" ht="15.75" thickBot="1" x14ac:dyDescent="0.3">
      <c r="A51" s="42"/>
      <c r="B51" s="42"/>
      <c r="C51" s="42"/>
      <c r="D51" s="42"/>
      <c r="E51" s="42"/>
      <c r="F51" s="42"/>
      <c r="G51" s="42"/>
      <c r="H51" s="42"/>
      <c r="I51" s="42"/>
      <c r="J51" s="460"/>
      <c r="K51" s="461"/>
      <c r="L51" s="461"/>
      <c r="M51" s="461"/>
      <c r="N51" s="461"/>
      <c r="O51" s="462"/>
      <c r="P51" s="460"/>
      <c r="Q51" s="461"/>
      <c r="R51" s="461"/>
      <c r="S51" s="461"/>
      <c r="T51" s="461"/>
      <c r="U51" s="462"/>
      <c r="V51" s="460"/>
      <c r="W51" s="461"/>
      <c r="X51" s="461"/>
      <c r="Y51" s="461"/>
      <c r="Z51" s="461"/>
      <c r="AA51" s="462"/>
      <c r="AB51" s="460"/>
      <c r="AC51" s="461"/>
      <c r="AD51" s="461"/>
      <c r="AE51" s="461"/>
      <c r="AF51" s="461"/>
      <c r="AG51" s="462"/>
      <c r="AH51" s="460"/>
      <c r="AI51" s="461"/>
      <c r="AJ51" s="461"/>
      <c r="AK51" s="461"/>
      <c r="AL51" s="461"/>
      <c r="AM51" s="46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row>
    <row r="52" spans="1:80" x14ac:dyDescent="0.25">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row>
    <row r="53" spans="1:80" ht="15" customHeight="1" x14ac:dyDescent="0.25">
      <c r="A53" s="42"/>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row>
    <row r="54" spans="1:80" ht="15" customHeight="1" x14ac:dyDescent="0.25">
      <c r="A54" s="42"/>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46"/>
      <c r="AN54" s="46"/>
      <c r="AO54" s="46"/>
      <c r="AP54" s="46"/>
      <c r="AQ54" s="46"/>
      <c r="AR54" s="46"/>
      <c r="AS54" s="46"/>
      <c r="AT54" s="46"/>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row>
    <row r="55" spans="1:80" x14ac:dyDescent="0.2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row>
    <row r="56" spans="1:80" x14ac:dyDescent="0.25">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row>
    <row r="57" spans="1:80" x14ac:dyDescent="0.25">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row>
    <row r="58" spans="1:80" x14ac:dyDescent="0.25">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row>
    <row r="59" spans="1:80" x14ac:dyDescent="0.25">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row>
    <row r="60" spans="1:80" x14ac:dyDescent="0.25">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row>
    <row r="61" spans="1:80" x14ac:dyDescent="0.25">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row>
    <row r="62" spans="1:80" x14ac:dyDescent="0.2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row>
    <row r="63" spans="1:80" x14ac:dyDescent="0.25">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row>
    <row r="64" spans="1:80" x14ac:dyDescent="0.25">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row>
    <row r="65" spans="1:80" x14ac:dyDescent="0.2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row>
    <row r="66" spans="1:80" x14ac:dyDescent="0.2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row>
    <row r="67" spans="1:80" x14ac:dyDescent="0.2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row>
    <row r="68" spans="1:80" x14ac:dyDescent="0.2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row>
    <row r="69" spans="1:80" x14ac:dyDescent="0.2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row>
    <row r="70" spans="1:80" x14ac:dyDescent="0.2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row>
    <row r="71" spans="1:80" x14ac:dyDescent="0.2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row>
    <row r="72" spans="1:80" x14ac:dyDescent="0.2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row>
    <row r="73" spans="1:80" x14ac:dyDescent="0.2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row>
    <row r="74" spans="1:80" x14ac:dyDescent="0.2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row>
    <row r="75" spans="1:80" x14ac:dyDescent="0.2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row>
    <row r="76" spans="1:80" x14ac:dyDescent="0.2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row>
    <row r="77" spans="1:80" x14ac:dyDescent="0.2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row>
    <row r="78" spans="1:80" x14ac:dyDescent="0.2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row>
    <row r="79" spans="1:80" x14ac:dyDescent="0.2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c r="BI79" s="42"/>
      <c r="BJ79" s="42"/>
      <c r="BK79" s="42"/>
    </row>
    <row r="80" spans="1:80" x14ac:dyDescent="0.2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row>
    <row r="81" spans="1:63" x14ac:dyDescent="0.2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row>
    <row r="82" spans="1:63" x14ac:dyDescent="0.2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row>
    <row r="83" spans="1:63" x14ac:dyDescent="0.2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c r="BK83" s="42"/>
    </row>
    <row r="84" spans="1:63" x14ac:dyDescent="0.2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row>
    <row r="85" spans="1:63" x14ac:dyDescent="0.2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row>
    <row r="86" spans="1:63" x14ac:dyDescent="0.2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row>
    <row r="87" spans="1:63" x14ac:dyDescent="0.2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row>
    <row r="88" spans="1:63" x14ac:dyDescent="0.2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row>
    <row r="89" spans="1:63" x14ac:dyDescent="0.2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row>
    <row r="90" spans="1:63" x14ac:dyDescent="0.2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row>
    <row r="91" spans="1:63" x14ac:dyDescent="0.2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row>
    <row r="92" spans="1:63" x14ac:dyDescent="0.2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row>
    <row r="93" spans="1:63" x14ac:dyDescent="0.2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row>
    <row r="94" spans="1:63" x14ac:dyDescent="0.2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row>
    <row r="95" spans="1:63" x14ac:dyDescent="0.2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row>
    <row r="96" spans="1:63" x14ac:dyDescent="0.2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row>
    <row r="97" spans="1:63" x14ac:dyDescent="0.2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row>
    <row r="98" spans="1:63" x14ac:dyDescent="0.2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row>
    <row r="99" spans="1:63" x14ac:dyDescent="0.2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row>
    <row r="100" spans="1:63" x14ac:dyDescent="0.2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row>
    <row r="101" spans="1:63" x14ac:dyDescent="0.2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row>
    <row r="102" spans="1:63" x14ac:dyDescent="0.2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row>
    <row r="103" spans="1:63" x14ac:dyDescent="0.2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row>
    <row r="104" spans="1:63" x14ac:dyDescent="0.2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row>
    <row r="105" spans="1:63" x14ac:dyDescent="0.2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row>
    <row r="106" spans="1:63" x14ac:dyDescent="0.2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row>
    <row r="107" spans="1:63" x14ac:dyDescent="0.2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row>
    <row r="108" spans="1:63" x14ac:dyDescent="0.2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row>
    <row r="109" spans="1:63" x14ac:dyDescent="0.2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row>
    <row r="110" spans="1:63" x14ac:dyDescent="0.2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row>
    <row r="111" spans="1:63" x14ac:dyDescent="0.2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row>
    <row r="112" spans="1:63" x14ac:dyDescent="0.2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row>
    <row r="113" spans="1:63" x14ac:dyDescent="0.2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row>
    <row r="114" spans="1:63" x14ac:dyDescent="0.2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row>
    <row r="115" spans="1:63" x14ac:dyDescent="0.2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row>
    <row r="116" spans="1:63" x14ac:dyDescent="0.2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row>
    <row r="117" spans="1:63" x14ac:dyDescent="0.2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row>
    <row r="118" spans="1:63" x14ac:dyDescent="0.2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row>
    <row r="119" spans="1:63" x14ac:dyDescent="0.2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row>
    <row r="120" spans="1:63" x14ac:dyDescent="0.2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row>
    <row r="121" spans="1:63" x14ac:dyDescent="0.2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row>
    <row r="122" spans="1:63" x14ac:dyDescent="0.25">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row>
    <row r="123" spans="1:63" x14ac:dyDescent="0.25">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row>
    <row r="124" spans="1:63" x14ac:dyDescent="0.25">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row>
    <row r="125" spans="1:63" x14ac:dyDescent="0.25">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row>
    <row r="126" spans="1:63" x14ac:dyDescent="0.25">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row>
    <row r="127" spans="1:63" x14ac:dyDescent="0.25">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row>
    <row r="128" spans="1:63" x14ac:dyDescent="0.25">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row>
    <row r="129" spans="2:63" x14ac:dyDescent="0.25">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row>
    <row r="130" spans="2:63" x14ac:dyDescent="0.25">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row>
    <row r="131" spans="2:63" x14ac:dyDescent="0.25">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row>
    <row r="132" spans="2:63" x14ac:dyDescent="0.25">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row>
    <row r="133" spans="2:63" x14ac:dyDescent="0.25">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row>
    <row r="134" spans="2:63" x14ac:dyDescent="0.25">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row>
    <row r="135" spans="2:63" x14ac:dyDescent="0.25">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row>
    <row r="136" spans="2:63" x14ac:dyDescent="0.25">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row>
    <row r="137" spans="2:63" x14ac:dyDescent="0.25">
      <c r="B137" s="42"/>
      <c r="C137" s="42"/>
      <c r="D137" s="42"/>
      <c r="E137" s="42"/>
      <c r="F137" s="42"/>
      <c r="G137" s="42"/>
      <c r="H137" s="42"/>
      <c r="I137" s="42"/>
    </row>
    <row r="138" spans="2:63" x14ac:dyDescent="0.25">
      <c r="B138" s="42"/>
      <c r="C138" s="42"/>
      <c r="D138" s="42"/>
      <c r="E138" s="42"/>
      <c r="F138" s="42"/>
      <c r="G138" s="42"/>
      <c r="H138" s="42"/>
      <c r="I138" s="42"/>
    </row>
    <row r="139" spans="2:63" x14ac:dyDescent="0.25">
      <c r="B139" s="42"/>
      <c r="C139" s="42"/>
      <c r="D139" s="42"/>
      <c r="E139" s="42"/>
      <c r="F139" s="42"/>
      <c r="G139" s="42"/>
      <c r="H139" s="42"/>
      <c r="I139" s="42"/>
    </row>
    <row r="140" spans="2:63" x14ac:dyDescent="0.25">
      <c r="B140" s="42"/>
      <c r="C140" s="42"/>
      <c r="D140" s="42"/>
      <c r="E140" s="42"/>
      <c r="F140" s="42"/>
      <c r="G140" s="42"/>
      <c r="H140" s="42"/>
      <c r="I140" s="42"/>
    </row>
  </sheetData>
  <mergeCells count="31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L42:AM43"/>
    <mergeCell ref="AH44:AI45"/>
    <mergeCell ref="AJ44:AK45"/>
    <mergeCell ref="AL44:AM45"/>
    <mergeCell ref="AH38:AI39"/>
    <mergeCell ref="AJ38:AK39"/>
    <mergeCell ref="AL38:AM39"/>
    <mergeCell ref="AH40:AI41"/>
    <mergeCell ref="AJ40:AK41"/>
    <mergeCell ref="AL40:AM41"/>
    <mergeCell ref="AH34:AI35"/>
    <mergeCell ref="AJ34:AK35"/>
    <mergeCell ref="AH36:AI37"/>
    <mergeCell ref="AJ36:AK37"/>
    <mergeCell ref="AH30:AI31"/>
    <mergeCell ref="AJ30:AK31"/>
    <mergeCell ref="AH32:AI33"/>
    <mergeCell ref="AJ32:AK33"/>
    <mergeCell ref="AH42:AI43"/>
    <mergeCell ref="AJ42:AK4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0" zoomScale="30" zoomScaleNormal="30" workbookViewId="0">
      <selection activeCell="AK44" sqref="AK44"/>
    </sheetView>
  </sheetViews>
  <sheetFormatPr baseColWidth="10" defaultRowHeight="15" x14ac:dyDescent="0.25"/>
  <cols>
    <col min="2" max="9" width="5.7109375" customWidth="1"/>
    <col min="10" max="10" width="34.7109375" customWidth="1"/>
    <col min="11" max="11" width="21.140625" customWidth="1"/>
    <col min="12" max="12" width="12" customWidth="1"/>
    <col min="13" max="16" width="5.7109375" customWidth="1"/>
    <col min="17" max="17" width="24.28515625" customWidth="1"/>
    <col min="18" max="18" width="24.7109375" customWidth="1"/>
    <col min="19" max="19" width="24.42578125" customWidth="1"/>
    <col min="20" max="20" width="23.5703125" customWidth="1"/>
    <col min="21" max="22" width="24.5703125" customWidth="1"/>
    <col min="23" max="23" width="24.7109375" customWidth="1"/>
    <col min="24" max="24" width="26.85546875" customWidth="1"/>
    <col min="25" max="25" width="22.42578125" customWidth="1"/>
    <col min="26" max="26" width="31.42578125" customWidth="1"/>
    <col min="27" max="27" width="27.28515625" customWidth="1"/>
    <col min="28" max="28" width="13.140625" customWidth="1"/>
    <col min="29" max="29" width="7.42578125" customWidth="1"/>
    <col min="30" max="30" width="27.7109375" customWidth="1"/>
    <col min="31" max="32" width="5.7109375" customWidth="1"/>
    <col min="33" max="33" width="12" customWidth="1"/>
    <col min="34" max="34" width="8.5703125" customWidth="1"/>
    <col min="35" max="36" width="5.7109375" customWidth="1"/>
    <col min="37" max="37" width="27.7109375" customWidth="1"/>
    <col min="38" max="38" width="5.7109375" customWidth="1"/>
    <col min="39" max="39" width="15.42578125" customWidth="1"/>
    <col min="41" max="46" width="5.7109375" customWidth="1"/>
  </cols>
  <sheetData>
    <row r="1" spans="1:91" x14ac:dyDescent="0.2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row>
    <row r="2" spans="1:91" ht="18" customHeight="1" x14ac:dyDescent="0.25">
      <c r="A2" s="42"/>
      <c r="B2" s="558" t="s">
        <v>155</v>
      </c>
      <c r="C2" s="559"/>
      <c r="D2" s="559"/>
      <c r="E2" s="559"/>
      <c r="F2" s="559"/>
      <c r="G2" s="559"/>
      <c r="H2" s="559"/>
      <c r="I2" s="559"/>
      <c r="J2" s="470" t="s">
        <v>2</v>
      </c>
      <c r="K2" s="470"/>
      <c r="L2" s="470"/>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row>
    <row r="3" spans="1:91" ht="18.75" customHeight="1" x14ac:dyDescent="0.25">
      <c r="A3" s="42"/>
      <c r="B3" s="559"/>
      <c r="C3" s="559"/>
      <c r="D3" s="559"/>
      <c r="E3" s="559"/>
      <c r="F3" s="559"/>
      <c r="G3" s="559"/>
      <c r="H3" s="559"/>
      <c r="I3" s="559"/>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row>
    <row r="4" spans="1:91" ht="15" customHeight="1" x14ac:dyDescent="0.25">
      <c r="A4" s="42"/>
      <c r="B4" s="559"/>
      <c r="C4" s="559"/>
      <c r="D4" s="559"/>
      <c r="E4" s="559"/>
      <c r="F4" s="559"/>
      <c r="G4" s="559"/>
      <c r="H4" s="559"/>
      <c r="I4" s="559"/>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row>
    <row r="5" spans="1:91" ht="15.75" thickBot="1" x14ac:dyDescent="0.3">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row>
    <row r="6" spans="1:91" ht="15" customHeight="1" x14ac:dyDescent="0.55000000000000004">
      <c r="A6" s="42"/>
      <c r="B6" s="416" t="s">
        <v>4</v>
      </c>
      <c r="C6" s="416"/>
      <c r="D6" s="417"/>
      <c r="E6" s="541" t="s">
        <v>114</v>
      </c>
      <c r="F6" s="542"/>
      <c r="G6" s="542"/>
      <c r="H6" s="542"/>
      <c r="I6" s="560"/>
      <c r="J6" s="185"/>
      <c r="K6" s="186"/>
      <c r="L6" s="186"/>
      <c r="M6" s="186"/>
      <c r="N6" s="186"/>
      <c r="O6" s="187"/>
      <c r="P6" s="185"/>
      <c r="Q6" s="186"/>
      <c r="R6" s="186"/>
      <c r="S6" s="186"/>
      <c r="T6" s="186"/>
      <c r="U6" s="187"/>
      <c r="V6" s="185"/>
      <c r="W6" s="186"/>
      <c r="X6" s="186"/>
      <c r="Y6" s="186"/>
      <c r="Z6" s="186"/>
      <c r="AA6" s="187"/>
      <c r="AB6" s="185"/>
      <c r="AC6" s="186"/>
      <c r="AD6" s="186"/>
      <c r="AE6" s="186"/>
      <c r="AF6" s="186"/>
      <c r="AG6" s="187"/>
      <c r="AH6" s="188"/>
      <c r="AI6" s="189"/>
      <c r="AJ6" s="189"/>
      <c r="AK6" s="189"/>
      <c r="AL6" s="189"/>
      <c r="AM6" s="190"/>
      <c r="AN6" s="42"/>
      <c r="AO6" s="549" t="s">
        <v>77</v>
      </c>
      <c r="AP6" s="550"/>
      <c r="AQ6" s="550"/>
      <c r="AR6" s="550"/>
      <c r="AS6" s="550"/>
      <c r="AT6" s="551"/>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row>
    <row r="7" spans="1:91" ht="15" customHeight="1" x14ac:dyDescent="0.45">
      <c r="A7" s="42"/>
      <c r="B7" s="416"/>
      <c r="C7" s="416"/>
      <c r="D7" s="417"/>
      <c r="E7" s="545"/>
      <c r="F7" s="546"/>
      <c r="G7" s="546"/>
      <c r="H7" s="546"/>
      <c r="I7" s="561"/>
      <c r="J7" s="201"/>
      <c r="K7" s="202"/>
      <c r="L7" s="202"/>
      <c r="M7" s="202"/>
      <c r="N7" s="202"/>
      <c r="O7" s="203"/>
      <c r="P7" s="201"/>
      <c r="Q7" s="202"/>
      <c r="R7" s="202"/>
      <c r="S7" s="202"/>
      <c r="T7" s="202"/>
      <c r="U7" s="203"/>
      <c r="V7" s="201"/>
      <c r="W7" s="202"/>
      <c r="X7" s="202"/>
      <c r="Y7" s="202"/>
      <c r="Z7" s="202"/>
      <c r="AA7" s="203"/>
      <c r="AB7" s="201"/>
      <c r="AC7" s="202"/>
      <c r="AD7" s="202"/>
      <c r="AE7" s="202"/>
      <c r="AF7" s="202"/>
      <c r="AG7" s="203"/>
      <c r="AH7" s="191"/>
      <c r="AI7" s="192"/>
      <c r="AJ7" s="192"/>
      <c r="AK7" s="192"/>
      <c r="AL7" s="192"/>
      <c r="AM7" s="193"/>
      <c r="AN7" s="42"/>
      <c r="AO7" s="552"/>
      <c r="AP7" s="553"/>
      <c r="AQ7" s="553"/>
      <c r="AR7" s="553"/>
      <c r="AS7" s="553"/>
      <c r="AT7" s="554"/>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row>
    <row r="8" spans="1:91" ht="15" customHeight="1" x14ac:dyDescent="0.45">
      <c r="A8" s="42"/>
      <c r="B8" s="416"/>
      <c r="C8" s="416"/>
      <c r="D8" s="417"/>
      <c r="E8" s="545"/>
      <c r="F8" s="546"/>
      <c r="G8" s="546"/>
      <c r="H8" s="546"/>
      <c r="I8" s="561"/>
      <c r="J8" s="201"/>
      <c r="K8" s="202"/>
      <c r="L8" s="202"/>
      <c r="M8" s="202"/>
      <c r="N8" s="202"/>
      <c r="O8" s="203"/>
      <c r="P8" s="201"/>
      <c r="Q8" s="202"/>
      <c r="R8" s="202"/>
      <c r="S8" s="202"/>
      <c r="T8" s="202"/>
      <c r="U8" s="203"/>
      <c r="V8" s="201"/>
      <c r="W8" s="202"/>
      <c r="X8" s="202"/>
      <c r="Y8" s="202"/>
      <c r="Z8" s="202"/>
      <c r="AA8" s="203"/>
      <c r="AB8" s="201"/>
      <c r="AC8" s="202"/>
      <c r="AD8" s="202"/>
      <c r="AE8" s="202"/>
      <c r="AF8" s="202"/>
      <c r="AG8" s="203"/>
      <c r="AH8" s="191"/>
      <c r="AI8" s="192"/>
      <c r="AJ8" s="192"/>
      <c r="AK8" s="192"/>
      <c r="AL8" s="192"/>
      <c r="AM8" s="193"/>
      <c r="AN8" s="42"/>
      <c r="AO8" s="552"/>
      <c r="AP8" s="553"/>
      <c r="AQ8" s="553"/>
      <c r="AR8" s="553"/>
      <c r="AS8" s="553"/>
      <c r="AT8" s="554"/>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row>
    <row r="9" spans="1:91" ht="15" customHeight="1" x14ac:dyDescent="0.45">
      <c r="A9" s="42"/>
      <c r="B9" s="416"/>
      <c r="C9" s="416"/>
      <c r="D9" s="417"/>
      <c r="E9" s="545"/>
      <c r="F9" s="546"/>
      <c r="G9" s="546"/>
      <c r="H9" s="546"/>
      <c r="I9" s="561"/>
      <c r="J9" s="201"/>
      <c r="K9" s="202"/>
      <c r="L9" s="204"/>
      <c r="M9" s="204"/>
      <c r="N9" s="204"/>
      <c r="O9" s="203"/>
      <c r="P9" s="201"/>
      <c r="Q9" s="202"/>
      <c r="R9" s="204"/>
      <c r="S9" s="204"/>
      <c r="T9" s="204"/>
      <c r="U9" s="203"/>
      <c r="V9" s="201"/>
      <c r="W9" s="202"/>
      <c r="X9" s="204"/>
      <c r="Y9" s="204"/>
      <c r="Z9" s="204"/>
      <c r="AA9" s="203"/>
      <c r="AB9" s="201"/>
      <c r="AC9" s="202"/>
      <c r="AD9" s="204"/>
      <c r="AE9" s="204"/>
      <c r="AF9" s="204"/>
      <c r="AG9" s="203"/>
      <c r="AH9" s="191"/>
      <c r="AI9" s="192"/>
      <c r="AJ9" s="192"/>
      <c r="AK9" s="192"/>
      <c r="AL9" s="192"/>
      <c r="AM9" s="193"/>
      <c r="AN9" s="42"/>
      <c r="AO9" s="552"/>
      <c r="AP9" s="553"/>
      <c r="AQ9" s="553"/>
      <c r="AR9" s="553"/>
      <c r="AS9" s="553"/>
      <c r="AT9" s="554"/>
      <c r="AU9" s="42"/>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row>
    <row r="10" spans="1:91" ht="15" customHeight="1" x14ac:dyDescent="0.45">
      <c r="A10" s="42"/>
      <c r="B10" s="416"/>
      <c r="C10" s="416"/>
      <c r="D10" s="417"/>
      <c r="E10" s="545"/>
      <c r="F10" s="546"/>
      <c r="G10" s="546"/>
      <c r="H10" s="546"/>
      <c r="I10" s="561"/>
      <c r="J10" s="201"/>
      <c r="K10" s="202"/>
      <c r="L10" s="204"/>
      <c r="M10" s="204"/>
      <c r="N10" s="204"/>
      <c r="O10" s="203"/>
      <c r="P10" s="201"/>
      <c r="Q10" s="202"/>
      <c r="R10" s="204"/>
      <c r="S10" s="204"/>
      <c r="T10" s="204"/>
      <c r="U10" s="203"/>
      <c r="V10" s="201"/>
      <c r="W10" s="202"/>
      <c r="X10" s="204"/>
      <c r="Y10" s="204"/>
      <c r="Z10" s="204"/>
      <c r="AA10" s="203"/>
      <c r="AB10" s="201"/>
      <c r="AC10" s="202"/>
      <c r="AD10" s="204"/>
      <c r="AE10" s="204"/>
      <c r="AF10" s="204"/>
      <c r="AG10" s="203"/>
      <c r="AH10" s="191"/>
      <c r="AI10" s="192"/>
      <c r="AJ10" s="192"/>
      <c r="AK10" s="192"/>
      <c r="AL10" s="192"/>
      <c r="AM10" s="193"/>
      <c r="AN10" s="42"/>
      <c r="AO10" s="552"/>
      <c r="AP10" s="553"/>
      <c r="AQ10" s="553"/>
      <c r="AR10" s="553"/>
      <c r="AS10" s="553"/>
      <c r="AT10" s="554"/>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row>
    <row r="11" spans="1:91" ht="15" customHeight="1" x14ac:dyDescent="0.45">
      <c r="A11" s="42"/>
      <c r="B11" s="416"/>
      <c r="C11" s="416"/>
      <c r="D11" s="417"/>
      <c r="E11" s="545"/>
      <c r="F11" s="546"/>
      <c r="G11" s="546"/>
      <c r="H11" s="546"/>
      <c r="I11" s="561"/>
      <c r="J11" s="201"/>
      <c r="K11" s="202"/>
      <c r="L11" s="204"/>
      <c r="M11" s="204"/>
      <c r="N11" s="204"/>
      <c r="O11" s="203"/>
      <c r="P11" s="201"/>
      <c r="Q11" s="202"/>
      <c r="R11" s="204"/>
      <c r="S11" s="204"/>
      <c r="T11" s="204"/>
      <c r="U11" s="203"/>
      <c r="V11" s="201"/>
      <c r="W11" s="202"/>
      <c r="X11" s="204"/>
      <c r="Y11" s="204"/>
      <c r="Z11" s="204"/>
      <c r="AA11" s="203"/>
      <c r="AB11" s="201"/>
      <c r="AC11" s="202"/>
      <c r="AD11" s="204"/>
      <c r="AE11" s="204"/>
      <c r="AF11" s="204"/>
      <c r="AG11" s="203"/>
      <c r="AH11" s="191"/>
      <c r="AI11" s="192"/>
      <c r="AJ11" s="192"/>
      <c r="AK11" s="192"/>
      <c r="AL11" s="192"/>
      <c r="AM11" s="193"/>
      <c r="AN11" s="42"/>
      <c r="AO11" s="552"/>
      <c r="AP11" s="553"/>
      <c r="AQ11" s="553"/>
      <c r="AR11" s="553"/>
      <c r="AS11" s="553"/>
      <c r="AT11" s="554"/>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row>
    <row r="12" spans="1:91" ht="15" customHeight="1" x14ac:dyDescent="0.45">
      <c r="A12" s="42"/>
      <c r="B12" s="416"/>
      <c r="C12" s="416"/>
      <c r="D12" s="417"/>
      <c r="E12" s="545"/>
      <c r="F12" s="546"/>
      <c r="G12" s="546"/>
      <c r="H12" s="546"/>
      <c r="I12" s="561"/>
      <c r="J12" s="201"/>
      <c r="K12" s="202"/>
      <c r="L12" s="204"/>
      <c r="M12" s="204"/>
      <c r="N12" s="204"/>
      <c r="O12" s="203"/>
      <c r="P12" s="201"/>
      <c r="Q12" s="202"/>
      <c r="R12" s="204"/>
      <c r="S12" s="204"/>
      <c r="T12" s="204"/>
      <c r="U12" s="203"/>
      <c r="V12" s="201"/>
      <c r="W12" s="202"/>
      <c r="X12" s="204"/>
      <c r="Y12" s="204"/>
      <c r="Z12" s="204"/>
      <c r="AA12" s="203"/>
      <c r="AB12" s="201"/>
      <c r="AC12" s="202"/>
      <c r="AD12" s="204"/>
      <c r="AE12" s="204"/>
      <c r="AF12" s="204"/>
      <c r="AG12" s="203"/>
      <c r="AH12" s="191"/>
      <c r="AI12" s="192"/>
      <c r="AJ12" s="192"/>
      <c r="AK12" s="192"/>
      <c r="AL12" s="192"/>
      <c r="AM12" s="193"/>
      <c r="AN12" s="42"/>
      <c r="AO12" s="552"/>
      <c r="AP12" s="553"/>
      <c r="AQ12" s="553"/>
      <c r="AR12" s="553"/>
      <c r="AS12" s="553"/>
      <c r="AT12" s="554"/>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row>
    <row r="13" spans="1:91" ht="15" customHeight="1" x14ac:dyDescent="0.45">
      <c r="A13" s="42"/>
      <c r="B13" s="416"/>
      <c r="C13" s="416"/>
      <c r="D13" s="417"/>
      <c r="E13" s="545"/>
      <c r="F13" s="546"/>
      <c r="G13" s="546"/>
      <c r="H13" s="546"/>
      <c r="I13" s="561"/>
      <c r="J13" s="201"/>
      <c r="K13" s="202"/>
      <c r="L13" s="204"/>
      <c r="M13" s="204"/>
      <c r="N13" s="204"/>
      <c r="O13" s="203"/>
      <c r="P13" s="201"/>
      <c r="Q13" s="202"/>
      <c r="R13" s="204"/>
      <c r="S13" s="204"/>
      <c r="T13" s="204"/>
      <c r="U13" s="203"/>
      <c r="V13" s="201"/>
      <c r="W13" s="202"/>
      <c r="X13" s="204"/>
      <c r="Y13" s="204"/>
      <c r="Z13" s="204"/>
      <c r="AA13" s="203"/>
      <c r="AB13" s="201"/>
      <c r="AC13" s="202"/>
      <c r="AD13" s="204"/>
      <c r="AE13" s="204"/>
      <c r="AF13" s="204"/>
      <c r="AG13" s="203"/>
      <c r="AH13" s="191"/>
      <c r="AI13" s="192"/>
      <c r="AJ13" s="192"/>
      <c r="AK13" s="192"/>
      <c r="AL13" s="192"/>
      <c r="AM13" s="193"/>
      <c r="AN13" s="42"/>
      <c r="AO13" s="552"/>
      <c r="AP13" s="553"/>
      <c r="AQ13" s="553"/>
      <c r="AR13" s="553"/>
      <c r="AS13" s="553"/>
      <c r="AT13" s="554"/>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row>
    <row r="14" spans="1:91" ht="15" customHeight="1" x14ac:dyDescent="0.45">
      <c r="A14" s="42"/>
      <c r="B14" s="416"/>
      <c r="C14" s="416"/>
      <c r="D14" s="417"/>
      <c r="E14" s="545"/>
      <c r="F14" s="546"/>
      <c r="G14" s="546"/>
      <c r="H14" s="546"/>
      <c r="I14" s="561"/>
      <c r="J14" s="201"/>
      <c r="K14" s="202"/>
      <c r="L14" s="204"/>
      <c r="M14" s="204"/>
      <c r="N14" s="204"/>
      <c r="O14" s="203"/>
      <c r="P14" s="201"/>
      <c r="Q14" s="202"/>
      <c r="R14" s="204"/>
      <c r="S14" s="204"/>
      <c r="T14" s="204"/>
      <c r="U14" s="203"/>
      <c r="V14" s="201"/>
      <c r="W14" s="202"/>
      <c r="X14" s="204"/>
      <c r="Y14" s="204"/>
      <c r="Z14" s="204"/>
      <c r="AA14" s="203"/>
      <c r="AB14" s="201"/>
      <c r="AC14" s="202"/>
      <c r="AD14" s="204"/>
      <c r="AE14" s="204"/>
      <c r="AF14" s="204"/>
      <c r="AG14" s="203"/>
      <c r="AH14" s="191"/>
      <c r="AI14" s="192"/>
      <c r="AJ14" s="192"/>
      <c r="AK14" s="192"/>
      <c r="AL14" s="192"/>
      <c r="AM14" s="193"/>
      <c r="AN14" s="42"/>
      <c r="AO14" s="552"/>
      <c r="AP14" s="553"/>
      <c r="AQ14" s="553"/>
      <c r="AR14" s="553"/>
      <c r="AS14" s="553"/>
      <c r="AT14" s="554"/>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row>
    <row r="15" spans="1:91" ht="15.75" customHeight="1" thickBot="1" x14ac:dyDescent="0.5">
      <c r="A15" s="42"/>
      <c r="B15" s="416"/>
      <c r="C15" s="416"/>
      <c r="D15" s="417"/>
      <c r="E15" s="547"/>
      <c r="F15" s="548"/>
      <c r="G15" s="548"/>
      <c r="H15" s="548"/>
      <c r="I15" s="562"/>
      <c r="J15" s="205"/>
      <c r="K15" s="206"/>
      <c r="L15" s="206"/>
      <c r="M15" s="206"/>
      <c r="N15" s="206"/>
      <c r="O15" s="207"/>
      <c r="P15" s="201"/>
      <c r="Q15" s="202"/>
      <c r="R15" s="202"/>
      <c r="S15" s="202"/>
      <c r="T15" s="202"/>
      <c r="U15" s="203"/>
      <c r="V15" s="205"/>
      <c r="W15" s="206"/>
      <c r="X15" s="206"/>
      <c r="Y15" s="206"/>
      <c r="Z15" s="206"/>
      <c r="AA15" s="207"/>
      <c r="AB15" s="201"/>
      <c r="AC15" s="202"/>
      <c r="AD15" s="202"/>
      <c r="AE15" s="202"/>
      <c r="AF15" s="202"/>
      <c r="AG15" s="203"/>
      <c r="AH15" s="194"/>
      <c r="AI15" s="195"/>
      <c r="AJ15" s="195"/>
      <c r="AK15" s="195"/>
      <c r="AL15" s="195"/>
      <c r="AM15" s="196"/>
      <c r="AN15" s="42"/>
      <c r="AO15" s="555"/>
      <c r="AP15" s="556"/>
      <c r="AQ15" s="556"/>
      <c r="AR15" s="556"/>
      <c r="AS15" s="556"/>
      <c r="AT15" s="557"/>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row>
    <row r="16" spans="1:91" ht="15" customHeight="1" x14ac:dyDescent="0.45">
      <c r="A16" s="42"/>
      <c r="B16" s="416"/>
      <c r="C16" s="416"/>
      <c r="D16" s="417"/>
      <c r="E16" s="541" t="s">
        <v>113</v>
      </c>
      <c r="F16" s="542"/>
      <c r="G16" s="542"/>
      <c r="H16" s="542"/>
      <c r="I16" s="542"/>
      <c r="J16" s="200"/>
      <c r="K16" s="208"/>
      <c r="L16" s="208"/>
      <c r="M16" s="208"/>
      <c r="N16" s="208"/>
      <c r="O16" s="209"/>
      <c r="P16" s="200"/>
      <c r="Q16" s="208"/>
      <c r="R16" s="208"/>
      <c r="S16" s="208"/>
      <c r="T16" s="208"/>
      <c r="U16" s="209"/>
      <c r="V16" s="210"/>
      <c r="W16" s="211"/>
      <c r="X16" s="211"/>
      <c r="Y16" s="211"/>
      <c r="Z16" s="211"/>
      <c r="AA16" s="212"/>
      <c r="AB16" s="210"/>
      <c r="AC16" s="211"/>
      <c r="AD16" s="211"/>
      <c r="AE16" s="211"/>
      <c r="AF16" s="211"/>
      <c r="AG16" s="212"/>
      <c r="AH16" s="197"/>
      <c r="AI16" s="198"/>
      <c r="AJ16" s="198"/>
      <c r="AK16" s="198"/>
      <c r="AL16" s="198"/>
      <c r="AM16" s="199"/>
      <c r="AN16" s="42"/>
      <c r="AO16" s="532" t="s">
        <v>78</v>
      </c>
      <c r="AP16" s="533"/>
      <c r="AQ16" s="533"/>
      <c r="AR16" s="533"/>
      <c r="AS16" s="533"/>
      <c r="AT16" s="534"/>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row>
    <row r="17" spans="1:76" ht="15" customHeight="1" x14ac:dyDescent="0.45">
      <c r="A17" s="42"/>
      <c r="B17" s="416"/>
      <c r="C17" s="416"/>
      <c r="D17" s="417"/>
      <c r="E17" s="543"/>
      <c r="F17" s="544"/>
      <c r="G17" s="544"/>
      <c r="H17" s="544"/>
      <c r="I17" s="544"/>
      <c r="J17" s="213"/>
      <c r="K17" s="214"/>
      <c r="L17" s="214"/>
      <c r="M17" s="214"/>
      <c r="N17" s="214"/>
      <c r="O17" s="215"/>
      <c r="P17" s="213"/>
      <c r="Q17" s="214"/>
      <c r="R17" s="214"/>
      <c r="S17" s="214"/>
      <c r="T17" s="214"/>
      <c r="U17" s="215"/>
      <c r="V17" s="201"/>
      <c r="W17" s="202"/>
      <c r="X17" s="202"/>
      <c r="Y17" s="202"/>
      <c r="Z17" s="202"/>
      <c r="AA17" s="203"/>
      <c r="AB17" s="201"/>
      <c r="AC17" s="202"/>
      <c r="AD17" s="202"/>
      <c r="AE17" s="202"/>
      <c r="AF17" s="202"/>
      <c r="AG17" s="203"/>
      <c r="AH17" s="191"/>
      <c r="AI17" s="192"/>
      <c r="AJ17" s="192"/>
      <c r="AK17" s="192"/>
      <c r="AL17" s="192"/>
      <c r="AM17" s="193"/>
      <c r="AN17" s="42"/>
      <c r="AO17" s="535"/>
      <c r="AP17" s="536"/>
      <c r="AQ17" s="536"/>
      <c r="AR17" s="536"/>
      <c r="AS17" s="536"/>
      <c r="AT17" s="537"/>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row>
    <row r="18" spans="1:76" ht="15" customHeight="1" x14ac:dyDescent="0.45">
      <c r="A18" s="42"/>
      <c r="B18" s="416"/>
      <c r="C18" s="416"/>
      <c r="D18" s="417"/>
      <c r="E18" s="545"/>
      <c r="F18" s="546"/>
      <c r="G18" s="546"/>
      <c r="H18" s="546"/>
      <c r="I18" s="544"/>
      <c r="J18" s="213"/>
      <c r="K18" s="214"/>
      <c r="L18" s="214"/>
      <c r="M18" s="214"/>
      <c r="N18" s="214"/>
      <c r="O18" s="215"/>
      <c r="P18" s="213"/>
      <c r="Q18" s="214"/>
      <c r="R18" s="214"/>
      <c r="S18" s="214"/>
      <c r="T18" s="214"/>
      <c r="U18" s="215"/>
      <c r="V18" s="201"/>
      <c r="W18" s="202"/>
      <c r="X18" s="202"/>
      <c r="Y18" s="202"/>
      <c r="Z18" s="202"/>
      <c r="AA18" s="203"/>
      <c r="AB18" s="201"/>
      <c r="AC18" s="202"/>
      <c r="AD18" s="202"/>
      <c r="AE18" s="202"/>
      <c r="AF18" s="202"/>
      <c r="AG18" s="203"/>
      <c r="AH18" s="191"/>
      <c r="AI18" s="192"/>
      <c r="AJ18" s="192"/>
      <c r="AK18" s="192"/>
      <c r="AL18" s="192"/>
      <c r="AM18" s="193"/>
      <c r="AN18" s="42"/>
      <c r="AO18" s="535"/>
      <c r="AP18" s="536"/>
      <c r="AQ18" s="536"/>
      <c r="AR18" s="536"/>
      <c r="AS18" s="536"/>
      <c r="AT18" s="537"/>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row>
    <row r="19" spans="1:76" ht="15" customHeight="1" x14ac:dyDescent="0.45">
      <c r="A19" s="42"/>
      <c r="B19" s="416"/>
      <c r="C19" s="416"/>
      <c r="D19" s="417"/>
      <c r="E19" s="545"/>
      <c r="F19" s="546"/>
      <c r="G19" s="546"/>
      <c r="H19" s="546"/>
      <c r="I19" s="544"/>
      <c r="J19" s="213"/>
      <c r="K19" s="214"/>
      <c r="L19" s="214"/>
      <c r="M19" s="214"/>
      <c r="N19" s="214"/>
      <c r="O19" s="215"/>
      <c r="P19" s="213"/>
      <c r="Q19" s="214"/>
      <c r="R19" s="214"/>
      <c r="S19" s="214"/>
      <c r="T19" s="214"/>
      <c r="U19" s="215"/>
      <c r="V19" s="201"/>
      <c r="W19" s="202"/>
      <c r="X19" s="204"/>
      <c r="Y19" s="204"/>
      <c r="Z19" s="204"/>
      <c r="AA19" s="203"/>
      <c r="AB19" s="201"/>
      <c r="AC19" s="202"/>
      <c r="AD19" s="204"/>
      <c r="AE19" s="204"/>
      <c r="AF19" s="204"/>
      <c r="AG19" s="203"/>
      <c r="AH19" s="191"/>
      <c r="AI19" s="192"/>
      <c r="AJ19" s="192"/>
      <c r="AK19" s="192"/>
      <c r="AL19" s="192"/>
      <c r="AM19" s="193"/>
      <c r="AN19" s="42"/>
      <c r="AO19" s="535"/>
      <c r="AP19" s="536"/>
      <c r="AQ19" s="536"/>
      <c r="AR19" s="536"/>
      <c r="AS19" s="536"/>
      <c r="AT19" s="537"/>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row>
    <row r="20" spans="1:76" ht="15" customHeight="1" x14ac:dyDescent="0.45">
      <c r="A20" s="42"/>
      <c r="B20" s="416"/>
      <c r="C20" s="416"/>
      <c r="D20" s="417"/>
      <c r="E20" s="545"/>
      <c r="F20" s="546"/>
      <c r="G20" s="546"/>
      <c r="H20" s="546"/>
      <c r="I20" s="544"/>
      <c r="J20" s="213"/>
      <c r="K20" s="214"/>
      <c r="L20" s="214"/>
      <c r="M20" s="214"/>
      <c r="N20" s="214"/>
      <c r="O20" s="215"/>
      <c r="P20" s="213"/>
      <c r="Q20" s="214"/>
      <c r="R20" s="214"/>
      <c r="S20" s="214"/>
      <c r="T20" s="214"/>
      <c r="U20" s="215"/>
      <c r="V20" s="201"/>
      <c r="W20" s="202"/>
      <c r="X20" s="204"/>
      <c r="Y20" s="204"/>
      <c r="Z20" s="204"/>
      <c r="AA20" s="203"/>
      <c r="AB20" s="201"/>
      <c r="AC20" s="202"/>
      <c r="AD20" s="204"/>
      <c r="AE20" s="204"/>
      <c r="AF20" s="204"/>
      <c r="AG20" s="203"/>
      <c r="AH20" s="191"/>
      <c r="AI20" s="192"/>
      <c r="AJ20" s="192"/>
      <c r="AK20" s="192"/>
      <c r="AL20" s="192"/>
      <c r="AM20" s="193"/>
      <c r="AN20" s="42"/>
      <c r="AO20" s="535"/>
      <c r="AP20" s="536"/>
      <c r="AQ20" s="536"/>
      <c r="AR20" s="536"/>
      <c r="AS20" s="536"/>
      <c r="AT20" s="537"/>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row>
    <row r="21" spans="1:76" ht="15" customHeight="1" x14ac:dyDescent="0.45">
      <c r="A21" s="42"/>
      <c r="B21" s="416"/>
      <c r="C21" s="416"/>
      <c r="D21" s="417"/>
      <c r="E21" s="545"/>
      <c r="F21" s="546"/>
      <c r="G21" s="546"/>
      <c r="H21" s="546"/>
      <c r="I21" s="544"/>
      <c r="J21" s="213"/>
      <c r="K21" s="214"/>
      <c r="L21" s="214"/>
      <c r="M21" s="214"/>
      <c r="N21" s="214"/>
      <c r="O21" s="215"/>
      <c r="P21" s="213"/>
      <c r="Q21" s="214"/>
      <c r="R21" s="214"/>
      <c r="S21" s="214"/>
      <c r="T21" s="214"/>
      <c r="U21" s="215"/>
      <c r="V21" s="201"/>
      <c r="W21" s="202"/>
      <c r="X21" s="204"/>
      <c r="Y21" s="204"/>
      <c r="Z21" s="204"/>
      <c r="AA21" s="203"/>
      <c r="AB21" s="201"/>
      <c r="AC21" s="202"/>
      <c r="AD21" s="204"/>
      <c r="AE21" s="204"/>
      <c r="AF21" s="204"/>
      <c r="AG21" s="203"/>
      <c r="AH21" s="191"/>
      <c r="AI21" s="192"/>
      <c r="AJ21" s="192"/>
      <c r="AK21" s="192"/>
      <c r="AL21" s="192"/>
      <c r="AM21" s="193"/>
      <c r="AN21" s="42"/>
      <c r="AO21" s="535"/>
      <c r="AP21" s="536"/>
      <c r="AQ21" s="536"/>
      <c r="AR21" s="536"/>
      <c r="AS21" s="536"/>
      <c r="AT21" s="537"/>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row>
    <row r="22" spans="1:76" ht="15" customHeight="1" x14ac:dyDescent="0.45">
      <c r="A22" s="42"/>
      <c r="B22" s="416"/>
      <c r="C22" s="416"/>
      <c r="D22" s="417"/>
      <c r="E22" s="545"/>
      <c r="F22" s="546"/>
      <c r="G22" s="546"/>
      <c r="H22" s="546"/>
      <c r="I22" s="544"/>
      <c r="J22" s="213"/>
      <c r="K22" s="214"/>
      <c r="L22" s="214"/>
      <c r="M22" s="214"/>
      <c r="N22" s="214"/>
      <c r="O22" s="215"/>
      <c r="P22" s="213"/>
      <c r="Q22" s="214"/>
      <c r="R22" s="214"/>
      <c r="S22" s="214"/>
      <c r="T22" s="214"/>
      <c r="U22" s="215"/>
      <c r="V22" s="201"/>
      <c r="W22" s="202"/>
      <c r="X22" s="204"/>
      <c r="Y22" s="204"/>
      <c r="Z22" s="204"/>
      <c r="AA22" s="203"/>
      <c r="AB22" s="201"/>
      <c r="AC22" s="202"/>
      <c r="AD22" s="204"/>
      <c r="AE22" s="204"/>
      <c r="AF22" s="204"/>
      <c r="AG22" s="203"/>
      <c r="AH22" s="191"/>
      <c r="AI22" s="192"/>
      <c r="AJ22" s="192"/>
      <c r="AK22" s="192"/>
      <c r="AL22" s="192"/>
      <c r="AM22" s="193"/>
      <c r="AN22" s="42"/>
      <c r="AO22" s="535"/>
      <c r="AP22" s="536"/>
      <c r="AQ22" s="536"/>
      <c r="AR22" s="536"/>
      <c r="AS22" s="536"/>
      <c r="AT22" s="537"/>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row>
    <row r="23" spans="1:76" ht="15" customHeight="1" x14ac:dyDescent="0.45">
      <c r="A23" s="42"/>
      <c r="B23" s="416"/>
      <c r="C23" s="416"/>
      <c r="D23" s="417"/>
      <c r="E23" s="545"/>
      <c r="F23" s="546"/>
      <c r="G23" s="546"/>
      <c r="H23" s="546"/>
      <c r="I23" s="544"/>
      <c r="J23" s="213"/>
      <c r="K23" s="214"/>
      <c r="L23" s="214"/>
      <c r="M23" s="214"/>
      <c r="N23" s="214"/>
      <c r="O23" s="215"/>
      <c r="P23" s="213"/>
      <c r="Q23" s="214"/>
      <c r="R23" s="214"/>
      <c r="S23" s="214"/>
      <c r="T23" s="214"/>
      <c r="U23" s="215"/>
      <c r="V23" s="201"/>
      <c r="W23" s="202"/>
      <c r="X23" s="204"/>
      <c r="Y23" s="204"/>
      <c r="Z23" s="204"/>
      <c r="AA23" s="203"/>
      <c r="AB23" s="201"/>
      <c r="AC23" s="202"/>
      <c r="AD23" s="204"/>
      <c r="AE23" s="204"/>
      <c r="AF23" s="204"/>
      <c r="AG23" s="203"/>
      <c r="AH23" s="191"/>
      <c r="AI23" s="192"/>
      <c r="AJ23" s="192"/>
      <c r="AK23" s="192"/>
      <c r="AL23" s="192"/>
      <c r="AM23" s="193"/>
      <c r="AN23" s="42"/>
      <c r="AO23" s="535"/>
      <c r="AP23" s="536"/>
      <c r="AQ23" s="536"/>
      <c r="AR23" s="536"/>
      <c r="AS23" s="536"/>
      <c r="AT23" s="537"/>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row>
    <row r="24" spans="1:76" ht="15" customHeight="1" x14ac:dyDescent="0.45">
      <c r="A24" s="42"/>
      <c r="B24" s="416"/>
      <c r="C24" s="416"/>
      <c r="D24" s="417"/>
      <c r="E24" s="545"/>
      <c r="F24" s="546"/>
      <c r="G24" s="546"/>
      <c r="H24" s="546"/>
      <c r="I24" s="544"/>
      <c r="J24" s="213"/>
      <c r="K24" s="214"/>
      <c r="L24" s="214"/>
      <c r="M24" s="214"/>
      <c r="N24" s="214"/>
      <c r="O24" s="215"/>
      <c r="P24" s="213"/>
      <c r="Q24" s="214"/>
      <c r="R24" s="214"/>
      <c r="S24" s="214"/>
      <c r="T24" s="214"/>
      <c r="U24" s="215"/>
      <c r="V24" s="201"/>
      <c r="W24" s="202"/>
      <c r="X24" s="204"/>
      <c r="Y24" s="204"/>
      <c r="Z24" s="204"/>
      <c r="AA24" s="203"/>
      <c r="AB24" s="201"/>
      <c r="AC24" s="202"/>
      <c r="AD24" s="204"/>
      <c r="AE24" s="204"/>
      <c r="AF24" s="204"/>
      <c r="AG24" s="203"/>
      <c r="AH24" s="191"/>
      <c r="AI24" s="192"/>
      <c r="AJ24" s="192"/>
      <c r="AK24" s="192"/>
      <c r="AL24" s="192"/>
      <c r="AM24" s="193"/>
      <c r="AN24" s="42"/>
      <c r="AO24" s="535"/>
      <c r="AP24" s="536"/>
      <c r="AQ24" s="536"/>
      <c r="AR24" s="536"/>
      <c r="AS24" s="536"/>
      <c r="AT24" s="537"/>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row>
    <row r="25" spans="1:76" ht="15.75" customHeight="1" thickBot="1" x14ac:dyDescent="0.5">
      <c r="A25" s="42"/>
      <c r="B25" s="416"/>
      <c r="C25" s="416"/>
      <c r="D25" s="417"/>
      <c r="E25" s="547"/>
      <c r="F25" s="548"/>
      <c r="G25" s="548"/>
      <c r="H25" s="548"/>
      <c r="I25" s="548"/>
      <c r="J25" s="216"/>
      <c r="K25" s="217"/>
      <c r="L25" s="217"/>
      <c r="M25" s="217"/>
      <c r="N25" s="217"/>
      <c r="O25" s="218"/>
      <c r="P25" s="216"/>
      <c r="Q25" s="217"/>
      <c r="R25" s="217"/>
      <c r="S25" s="217"/>
      <c r="T25" s="217"/>
      <c r="U25" s="218"/>
      <c r="V25" s="205"/>
      <c r="W25" s="206"/>
      <c r="X25" s="206"/>
      <c r="Y25" s="206"/>
      <c r="Z25" s="206"/>
      <c r="AA25" s="207"/>
      <c r="AB25" s="205"/>
      <c r="AC25" s="206"/>
      <c r="AD25" s="206"/>
      <c r="AE25" s="206"/>
      <c r="AF25" s="206"/>
      <c r="AG25" s="207"/>
      <c r="AH25" s="194"/>
      <c r="AI25" s="195"/>
      <c r="AJ25" s="195"/>
      <c r="AK25" s="195"/>
      <c r="AL25" s="195"/>
      <c r="AM25" s="196"/>
      <c r="AN25" s="42"/>
      <c r="AO25" s="538"/>
      <c r="AP25" s="539"/>
      <c r="AQ25" s="539"/>
      <c r="AR25" s="539"/>
      <c r="AS25" s="539"/>
      <c r="AT25" s="540"/>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row>
    <row r="26" spans="1:76" ht="42.75" customHeight="1" x14ac:dyDescent="0.45">
      <c r="A26" s="42"/>
      <c r="B26" s="416"/>
      <c r="C26" s="416"/>
      <c r="D26" s="417"/>
      <c r="E26" s="541" t="s">
        <v>115</v>
      </c>
      <c r="F26" s="542"/>
      <c r="G26" s="542"/>
      <c r="H26" s="542"/>
      <c r="I26" s="560"/>
      <c r="J26" s="200" t="str">
        <f>IF(AND('Mapa final'!$AF$15="Media",'Mapa final'!$AH$15="Leve"),CONCATENATE("R1C",'Mapa final'!$V$15),"")</f>
        <v/>
      </c>
      <c r="K26" s="208"/>
      <c r="L26" s="208"/>
      <c r="M26" s="208"/>
      <c r="N26" s="208"/>
      <c r="O26" s="209"/>
      <c r="P26" s="200"/>
      <c r="Q26" s="208"/>
      <c r="R26" s="208"/>
      <c r="S26" s="208"/>
      <c r="T26" s="208"/>
      <c r="U26" s="209"/>
      <c r="V26" s="200"/>
      <c r="W26" s="208"/>
      <c r="X26" s="208"/>
      <c r="Y26" s="208"/>
      <c r="Z26" s="208"/>
      <c r="AA26" s="209"/>
      <c r="AB26" s="210"/>
      <c r="AC26" s="211"/>
      <c r="AD26" s="211"/>
      <c r="AE26" s="211"/>
      <c r="AF26" s="211"/>
      <c r="AG26" s="212"/>
      <c r="AH26" s="197"/>
      <c r="AI26" s="198"/>
      <c r="AJ26" s="198"/>
      <c r="AK26" s="198"/>
      <c r="AL26" s="198"/>
      <c r="AM26" s="199"/>
      <c r="AN26" s="42"/>
      <c r="AO26" s="572" t="s">
        <v>79</v>
      </c>
      <c r="AP26" s="573"/>
      <c r="AQ26" s="573"/>
      <c r="AR26" s="573"/>
      <c r="AS26" s="573"/>
      <c r="AT26" s="574"/>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row>
    <row r="27" spans="1:76" ht="24.75" customHeight="1" x14ac:dyDescent="0.45">
      <c r="A27" s="42"/>
      <c r="B27" s="416"/>
      <c r="C27" s="416"/>
      <c r="D27" s="417"/>
      <c r="E27" s="543"/>
      <c r="F27" s="544"/>
      <c r="G27" s="544"/>
      <c r="H27" s="544"/>
      <c r="I27" s="561"/>
      <c r="J27" s="213"/>
      <c r="K27" s="214"/>
      <c r="L27" s="214"/>
      <c r="M27" s="214"/>
      <c r="N27" s="214"/>
      <c r="O27" s="215"/>
      <c r="P27" s="213"/>
      <c r="Q27" s="214"/>
      <c r="R27" s="214"/>
      <c r="S27" s="214"/>
      <c r="T27" s="214"/>
      <c r="U27" s="215"/>
      <c r="V27" s="213"/>
      <c r="W27" s="214"/>
      <c r="X27" s="214"/>
      <c r="Y27" s="214"/>
      <c r="Z27" s="214"/>
      <c r="AA27" s="215"/>
      <c r="AB27" s="201"/>
      <c r="AC27" s="202"/>
      <c r="AD27" s="202"/>
      <c r="AE27" s="202"/>
      <c r="AF27" s="202"/>
      <c r="AG27" s="203"/>
      <c r="AH27" s="191"/>
      <c r="AI27" s="192"/>
      <c r="AJ27" s="192"/>
      <c r="AK27" s="192"/>
      <c r="AL27" s="192"/>
      <c r="AM27" s="193"/>
      <c r="AN27" s="42"/>
      <c r="AO27" s="575"/>
      <c r="AP27" s="576"/>
      <c r="AQ27" s="576"/>
      <c r="AR27" s="576"/>
      <c r="AS27" s="576"/>
      <c r="AT27" s="577"/>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row>
    <row r="28" spans="1:76" ht="40.5" customHeight="1" x14ac:dyDescent="0.45">
      <c r="A28" s="42"/>
      <c r="B28" s="416"/>
      <c r="C28" s="416"/>
      <c r="D28" s="417"/>
      <c r="E28" s="545"/>
      <c r="F28" s="546"/>
      <c r="G28" s="546"/>
      <c r="H28" s="546"/>
      <c r="I28" s="561"/>
      <c r="J28" s="213"/>
      <c r="K28" s="214" t="str">
        <f>IF(AND('Mapa final'!$AF$23="Media",'Mapa final'!$AH$23="Leve"),CONCATENATE("R1C",'Mapa final'!$A$23),"")</f>
        <v>R1CG5</v>
      </c>
      <c r="L28" s="214"/>
      <c r="M28" s="214"/>
      <c r="N28" s="214"/>
      <c r="O28" s="215"/>
      <c r="P28" s="213"/>
      <c r="Q28" s="214"/>
      <c r="R28" s="214"/>
      <c r="S28" s="214"/>
      <c r="T28" s="214"/>
      <c r="U28" s="215"/>
      <c r="V28" s="213"/>
      <c r="W28" s="214"/>
      <c r="X28" s="214"/>
      <c r="Y28" s="214"/>
      <c r="Z28" s="214"/>
      <c r="AA28" s="215"/>
      <c r="AB28" s="201"/>
      <c r="AC28" s="202"/>
      <c r="AD28" s="202"/>
      <c r="AE28" s="202"/>
      <c r="AF28" s="202"/>
      <c r="AG28" s="203"/>
      <c r="AH28" s="191"/>
      <c r="AI28" s="192"/>
      <c r="AJ28" s="192"/>
      <c r="AK28" s="192"/>
      <c r="AL28" s="192"/>
      <c r="AM28" s="193"/>
      <c r="AN28" s="42"/>
      <c r="AO28" s="575"/>
      <c r="AP28" s="576"/>
      <c r="AQ28" s="576"/>
      <c r="AR28" s="576"/>
      <c r="AS28" s="576"/>
      <c r="AT28" s="577"/>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row>
    <row r="29" spans="1:76" ht="15" customHeight="1" x14ac:dyDescent="0.45">
      <c r="A29" s="42"/>
      <c r="B29" s="416"/>
      <c r="C29" s="416"/>
      <c r="D29" s="417"/>
      <c r="E29" s="545"/>
      <c r="F29" s="546"/>
      <c r="G29" s="546"/>
      <c r="H29" s="546"/>
      <c r="I29" s="561"/>
      <c r="J29" s="213"/>
      <c r="K29" s="214"/>
      <c r="L29" s="214"/>
      <c r="M29" s="214"/>
      <c r="N29" s="214"/>
      <c r="O29" s="215"/>
      <c r="P29" s="213"/>
      <c r="Q29" s="214"/>
      <c r="R29" s="214"/>
      <c r="S29" s="214"/>
      <c r="T29" s="214"/>
      <c r="U29" s="215"/>
      <c r="V29" s="213"/>
      <c r="W29" s="214"/>
      <c r="X29" s="214"/>
      <c r="Y29" s="214"/>
      <c r="Z29" s="214"/>
      <c r="AA29" s="215"/>
      <c r="AB29" s="201"/>
      <c r="AC29" s="202"/>
      <c r="AD29" s="204"/>
      <c r="AE29" s="204"/>
      <c r="AF29" s="204"/>
      <c r="AG29" s="203"/>
      <c r="AH29" s="191"/>
      <c r="AI29" s="192"/>
      <c r="AJ29" s="192"/>
      <c r="AK29" s="192"/>
      <c r="AL29" s="192"/>
      <c r="AM29" s="193"/>
      <c r="AN29" s="42"/>
      <c r="AO29" s="575"/>
      <c r="AP29" s="576"/>
      <c r="AQ29" s="576"/>
      <c r="AR29" s="576"/>
      <c r="AS29" s="576"/>
      <c r="AT29" s="577"/>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row>
    <row r="30" spans="1:76" ht="15" customHeight="1" x14ac:dyDescent="0.45">
      <c r="A30" s="42"/>
      <c r="B30" s="416"/>
      <c r="C30" s="416"/>
      <c r="D30" s="417"/>
      <c r="E30" s="545"/>
      <c r="F30" s="546"/>
      <c r="G30" s="546"/>
      <c r="H30" s="546"/>
      <c r="I30" s="561"/>
      <c r="J30" s="213"/>
      <c r="K30" s="214" t="str">
        <f>IF(AND('Mapa final'!$AF$20="Media",'Mapa final'!$AH$20="Leve"),CONCATENATE("R5C",'Mapa final'!$V$20),"")</f>
        <v/>
      </c>
      <c r="L30" s="214"/>
      <c r="M30" s="214"/>
      <c r="N30" s="214"/>
      <c r="O30" s="215"/>
      <c r="P30" s="213"/>
      <c r="Q30" s="214"/>
      <c r="R30" s="214"/>
      <c r="S30" s="214"/>
      <c r="T30" s="214"/>
      <c r="U30" s="215"/>
      <c r="V30" s="213"/>
      <c r="W30" s="214"/>
      <c r="X30" s="214"/>
      <c r="Y30" s="214"/>
      <c r="Z30" s="214"/>
      <c r="AA30" s="215"/>
      <c r="AB30" s="201"/>
      <c r="AC30" s="202"/>
      <c r="AD30" s="204"/>
      <c r="AE30" s="204"/>
      <c r="AF30" s="204"/>
      <c r="AG30" s="203"/>
      <c r="AH30" s="191"/>
      <c r="AI30" s="192"/>
      <c r="AJ30" s="192"/>
      <c r="AK30" s="192"/>
      <c r="AL30" s="192"/>
      <c r="AM30" s="193"/>
      <c r="AN30" s="42"/>
      <c r="AO30" s="575"/>
      <c r="AP30" s="576"/>
      <c r="AQ30" s="576"/>
      <c r="AR30" s="576"/>
      <c r="AS30" s="576"/>
      <c r="AT30" s="577"/>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row>
    <row r="31" spans="1:76" ht="15" customHeight="1" x14ac:dyDescent="0.45">
      <c r="A31" s="42"/>
      <c r="B31" s="416"/>
      <c r="C31" s="416"/>
      <c r="D31" s="417"/>
      <c r="E31" s="545"/>
      <c r="F31" s="546"/>
      <c r="G31" s="546"/>
      <c r="H31" s="546"/>
      <c r="I31" s="561"/>
      <c r="J31" s="213"/>
      <c r="K31" s="214" t="str">
        <f>IF(AND('Mapa final'!$AF$24="Media",'Mapa final'!$AH$24="Leve"),CONCATENATE("R6C",'Mapa final'!$V$24),"")</f>
        <v/>
      </c>
      <c r="L31" s="214"/>
      <c r="M31" s="214"/>
      <c r="N31" s="214"/>
      <c r="O31" s="215"/>
      <c r="P31" s="213"/>
      <c r="Q31" s="214"/>
      <c r="R31" s="214"/>
      <c r="S31" s="214"/>
      <c r="T31" s="214"/>
      <c r="U31" s="215"/>
      <c r="V31" s="213"/>
      <c r="W31" s="214"/>
      <c r="X31" s="214"/>
      <c r="Y31" s="214"/>
      <c r="Z31" s="214"/>
      <c r="AA31" s="215"/>
      <c r="AB31" s="201"/>
      <c r="AC31" s="202"/>
      <c r="AD31" s="204"/>
      <c r="AE31" s="204"/>
      <c r="AF31" s="204"/>
      <c r="AG31" s="203"/>
      <c r="AH31" s="191"/>
      <c r="AI31" s="192"/>
      <c r="AJ31" s="192"/>
      <c r="AK31" s="192"/>
      <c r="AL31" s="192"/>
      <c r="AM31" s="193"/>
      <c r="AN31" s="42"/>
      <c r="AO31" s="575"/>
      <c r="AP31" s="576"/>
      <c r="AQ31" s="576"/>
      <c r="AR31" s="576"/>
      <c r="AS31" s="576"/>
      <c r="AT31" s="577"/>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row>
    <row r="32" spans="1:76" ht="36" customHeight="1" x14ac:dyDescent="0.45">
      <c r="A32" s="42"/>
      <c r="B32" s="416"/>
      <c r="C32" s="416"/>
      <c r="D32" s="417"/>
      <c r="E32" s="545"/>
      <c r="F32" s="546"/>
      <c r="G32" s="546"/>
      <c r="H32" s="546"/>
      <c r="I32" s="561"/>
      <c r="J32" s="213"/>
      <c r="K32" s="214" t="str">
        <f>IF(AND('Mapa final'!$AF$27="Media",'Mapa final'!$AH$27="Leve"),CONCATENATE("R7C",'Mapa final'!$V$27),"")</f>
        <v/>
      </c>
      <c r="L32" s="214"/>
      <c r="M32" s="214"/>
      <c r="N32" s="214"/>
      <c r="O32" s="215"/>
      <c r="P32" s="213"/>
      <c r="Q32" s="214"/>
      <c r="R32" s="214"/>
      <c r="S32" s="214"/>
      <c r="T32" s="214"/>
      <c r="U32" s="215"/>
      <c r="V32" s="213"/>
      <c r="W32" s="214"/>
      <c r="X32" s="214"/>
      <c r="Y32" s="214"/>
      <c r="Z32" s="214" t="str">
        <f>IF(AND('Mapa final'!$AF$67="Media",'Mapa final'!$AH$67="Moderado"),CONCATENATE("R1C",'Mapa final'!$A$67),"")</f>
        <v>R1CG25</v>
      </c>
      <c r="AA32" s="215" t="str">
        <f>IF(AND('Mapa final'!$AF$44="Media",'Mapa final'!$AH$44="Moderado"),CONCATENATE("R1C",'Mapa final'!$A$44),"")</f>
        <v>R1CG14</v>
      </c>
      <c r="AB32" s="201"/>
      <c r="AC32" s="202"/>
      <c r="AD32" s="204"/>
      <c r="AE32" s="204"/>
      <c r="AF32" s="204"/>
      <c r="AG32" s="203"/>
      <c r="AH32" s="191"/>
      <c r="AI32" s="192"/>
      <c r="AJ32" s="192"/>
      <c r="AK32" s="192"/>
      <c r="AL32" s="192"/>
      <c r="AM32" s="193"/>
      <c r="AN32" s="42"/>
      <c r="AO32" s="575"/>
      <c r="AP32" s="576"/>
      <c r="AQ32" s="576"/>
      <c r="AR32" s="576"/>
      <c r="AS32" s="576"/>
      <c r="AT32" s="577"/>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row>
    <row r="33" spans="1:80" ht="15" customHeight="1" x14ac:dyDescent="0.45">
      <c r="A33" s="42"/>
      <c r="B33" s="416"/>
      <c r="C33" s="416"/>
      <c r="D33" s="417"/>
      <c r="E33" s="545"/>
      <c r="F33" s="546"/>
      <c r="G33" s="546"/>
      <c r="H33" s="546"/>
      <c r="I33" s="561"/>
      <c r="J33" s="213"/>
      <c r="K33" s="214" t="str">
        <f>IF(AND('Mapa final'!$AF$29="Media",'Mapa final'!$AH$29="Leve"),CONCATENATE("R8C",'Mapa final'!$V$29),"")</f>
        <v/>
      </c>
      <c r="L33" s="214"/>
      <c r="M33" s="214"/>
      <c r="N33" s="214"/>
      <c r="O33" s="215"/>
      <c r="P33" s="213"/>
      <c r="Q33" s="214"/>
      <c r="R33" s="214"/>
      <c r="S33" s="214"/>
      <c r="T33" s="214"/>
      <c r="U33" s="215"/>
      <c r="V33" s="213"/>
      <c r="W33" s="214"/>
      <c r="X33" s="214"/>
      <c r="Y33" s="214"/>
      <c r="Z33" s="214"/>
      <c r="AA33" s="215"/>
      <c r="AB33" s="201"/>
      <c r="AC33" s="202"/>
      <c r="AD33" s="204"/>
      <c r="AE33" s="204"/>
      <c r="AF33" s="204"/>
      <c r="AG33" s="203"/>
      <c r="AH33" s="191"/>
      <c r="AI33" s="192"/>
      <c r="AJ33" s="192"/>
      <c r="AK33" s="192"/>
      <c r="AL33" s="192"/>
      <c r="AM33" s="193"/>
      <c r="AN33" s="42"/>
      <c r="AO33" s="575"/>
      <c r="AP33" s="576"/>
      <c r="AQ33" s="576"/>
      <c r="AR33" s="576"/>
      <c r="AS33" s="576"/>
      <c r="AT33" s="577"/>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row>
    <row r="34" spans="1:80" ht="15" customHeight="1" x14ac:dyDescent="0.45">
      <c r="A34" s="42"/>
      <c r="B34" s="416"/>
      <c r="C34" s="416"/>
      <c r="D34" s="417"/>
      <c r="E34" s="545"/>
      <c r="F34" s="546"/>
      <c r="G34" s="546"/>
      <c r="H34" s="546"/>
      <c r="I34" s="561"/>
      <c r="J34" s="213" t="str">
        <f>IF(AND('Mapa final'!$AF$30="Media",'Mapa final'!$AH$30="Leve"),CONCATENATE("R9C",'Mapa final'!$V$30),"")</f>
        <v/>
      </c>
      <c r="K34" s="214" t="str">
        <f>IF(AND('Mapa final'!$AF$31="Media",'Mapa final'!$AH$31="Leve"),CONCATENATE("R9C",'Mapa final'!$V$31),"")</f>
        <v/>
      </c>
      <c r="L34" s="214"/>
      <c r="M34" s="214"/>
      <c r="N34" s="214"/>
      <c r="O34" s="215"/>
      <c r="P34" s="213"/>
      <c r="Q34" s="214"/>
      <c r="R34" s="214"/>
      <c r="S34" s="214"/>
      <c r="T34" s="214"/>
      <c r="U34" s="215"/>
      <c r="V34" s="213"/>
      <c r="W34" s="214"/>
      <c r="X34" s="214"/>
      <c r="Y34" s="214"/>
      <c r="Z34" s="214"/>
      <c r="AA34" s="215"/>
      <c r="AB34" s="201"/>
      <c r="AC34" s="202"/>
      <c r="AD34" s="204"/>
      <c r="AE34" s="204"/>
      <c r="AF34" s="204"/>
      <c r="AG34" s="203"/>
      <c r="AH34" s="191"/>
      <c r="AI34" s="192"/>
      <c r="AJ34" s="192"/>
      <c r="AK34" s="192"/>
      <c r="AL34" s="192"/>
      <c r="AM34" s="193"/>
      <c r="AN34" s="42"/>
      <c r="AO34" s="575"/>
      <c r="AP34" s="576"/>
      <c r="AQ34" s="576"/>
      <c r="AR34" s="576"/>
      <c r="AS34" s="576"/>
      <c r="AT34" s="577"/>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row>
    <row r="35" spans="1:80" ht="15.75" customHeight="1" thickBot="1" x14ac:dyDescent="0.5">
      <c r="A35" s="42"/>
      <c r="B35" s="416"/>
      <c r="C35" s="416"/>
      <c r="D35" s="417"/>
      <c r="E35" s="547"/>
      <c r="F35" s="548"/>
      <c r="G35" s="548"/>
      <c r="H35" s="548"/>
      <c r="I35" s="562"/>
      <c r="J35" s="213" t="str">
        <f>IF(AND('Mapa final'!$AF$33="Media",'Mapa final'!$AH$33="Leve"),CONCATENATE("R10C",'Mapa final'!$V$33),"")</f>
        <v/>
      </c>
      <c r="K35" s="214" t="str">
        <f>IF(AND('Mapa final'!$AF$34="Media",'Mapa final'!$AH$34="Leve"),CONCATENATE("R10C",'Mapa final'!$V$34),"")</f>
        <v/>
      </c>
      <c r="L35" s="214"/>
      <c r="M35" s="214"/>
      <c r="N35" s="214"/>
      <c r="O35" s="215"/>
      <c r="P35" s="213"/>
      <c r="Q35" s="214"/>
      <c r="R35" s="214"/>
      <c r="S35" s="214"/>
      <c r="T35" s="214"/>
      <c r="U35" s="215"/>
      <c r="V35" s="213"/>
      <c r="W35" s="214"/>
      <c r="X35" s="214"/>
      <c r="Y35" s="214"/>
      <c r="Z35" s="214"/>
      <c r="AA35" s="215"/>
      <c r="AB35" s="205"/>
      <c r="AC35" s="206"/>
      <c r="AD35" s="206"/>
      <c r="AE35" s="206"/>
      <c r="AF35" s="206"/>
      <c r="AG35" s="207"/>
      <c r="AH35" s="194"/>
      <c r="AI35" s="195"/>
      <c r="AJ35" s="195"/>
      <c r="AK35" s="195"/>
      <c r="AL35" s="195"/>
      <c r="AM35" s="196"/>
      <c r="AN35" s="42"/>
      <c r="AO35" s="578"/>
      <c r="AP35" s="579"/>
      <c r="AQ35" s="579"/>
      <c r="AR35" s="579"/>
      <c r="AS35" s="579"/>
      <c r="AT35" s="580"/>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row>
    <row r="36" spans="1:80" ht="39.75" customHeight="1" x14ac:dyDescent="0.45">
      <c r="A36" s="42"/>
      <c r="B36" s="416"/>
      <c r="C36" s="416"/>
      <c r="D36" s="417"/>
      <c r="E36" s="541" t="s">
        <v>112</v>
      </c>
      <c r="F36" s="542"/>
      <c r="G36" s="542"/>
      <c r="H36" s="542"/>
      <c r="I36" s="542"/>
      <c r="J36" s="219"/>
      <c r="K36" s="220"/>
      <c r="L36" s="220"/>
      <c r="M36" s="220"/>
      <c r="N36" s="220"/>
      <c r="O36" s="221"/>
      <c r="P36" s="200"/>
      <c r="Q36" s="208"/>
      <c r="R36" s="208"/>
      <c r="S36" s="208" t="str">
        <f>IF(AND('Mapa final'!$AF$50="Baja",'Mapa final'!$AH$50="Menor"),CONCATENATE("R1C",'Mapa final'!$A$50),"")</f>
        <v>R1CG16</v>
      </c>
      <c r="T36" s="208"/>
      <c r="U36" s="208"/>
      <c r="V36" s="200"/>
      <c r="W36" s="208"/>
      <c r="X36" s="208"/>
      <c r="Y36" s="208"/>
      <c r="Z36" s="208"/>
      <c r="AA36" s="209"/>
      <c r="AB36" s="210"/>
      <c r="AC36" s="211"/>
      <c r="AD36" s="211"/>
      <c r="AE36" s="211"/>
      <c r="AF36" s="211"/>
      <c r="AG36" s="212"/>
      <c r="AH36" s="197"/>
      <c r="AI36" s="198"/>
      <c r="AJ36" s="198"/>
      <c r="AK36" s="198"/>
      <c r="AL36" s="198"/>
      <c r="AM36" s="199"/>
      <c r="AN36" s="42"/>
      <c r="AO36" s="563" t="s">
        <v>80</v>
      </c>
      <c r="AP36" s="564"/>
      <c r="AQ36" s="564"/>
      <c r="AR36" s="564"/>
      <c r="AS36" s="564"/>
      <c r="AT36" s="565"/>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row>
    <row r="37" spans="1:80" ht="28.5" customHeight="1" x14ac:dyDescent="0.45">
      <c r="A37" s="42"/>
      <c r="B37" s="416"/>
      <c r="C37" s="416"/>
      <c r="D37" s="417"/>
      <c r="E37" s="543"/>
      <c r="F37" s="544"/>
      <c r="G37" s="544"/>
      <c r="H37" s="544"/>
      <c r="I37" s="544"/>
      <c r="J37" s="222"/>
      <c r="K37" s="223"/>
      <c r="L37" s="223"/>
      <c r="M37" s="223"/>
      <c r="N37" s="223"/>
      <c r="O37" s="224"/>
      <c r="P37" s="213"/>
      <c r="Q37" s="214"/>
      <c r="R37" s="214"/>
      <c r="S37" s="214" t="str">
        <f>IF(AND('Mapa final'!$AF$52="Baja",'Mapa final'!$AH$52="Menor"),CONCATENATE("R1C",'Mapa final'!$A$52),"")</f>
        <v>R1CG17</v>
      </c>
      <c r="T37" s="214"/>
      <c r="U37" s="214"/>
      <c r="V37" s="213"/>
      <c r="W37" s="214"/>
      <c r="X37" s="214"/>
      <c r="Y37" s="214"/>
      <c r="Z37" s="214"/>
      <c r="AA37" s="215"/>
      <c r="AB37" s="201"/>
      <c r="AC37" s="202"/>
      <c r="AD37" s="202"/>
      <c r="AE37" s="202"/>
      <c r="AF37" s="202"/>
      <c r="AG37" s="203"/>
      <c r="AH37" s="191"/>
      <c r="AI37" s="192"/>
      <c r="AJ37" s="192"/>
      <c r="AK37" s="192"/>
      <c r="AL37" s="192"/>
      <c r="AM37" s="193"/>
      <c r="AN37" s="42"/>
      <c r="AO37" s="566"/>
      <c r="AP37" s="567"/>
      <c r="AQ37" s="567"/>
      <c r="AR37" s="567"/>
      <c r="AS37" s="567"/>
      <c r="AT37" s="568"/>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row>
    <row r="38" spans="1:80" ht="24" customHeight="1" x14ac:dyDescent="0.45">
      <c r="A38" s="42"/>
      <c r="B38" s="416"/>
      <c r="C38" s="416"/>
      <c r="D38" s="417"/>
      <c r="E38" s="545"/>
      <c r="F38" s="546"/>
      <c r="G38" s="546"/>
      <c r="H38" s="546"/>
      <c r="I38" s="544"/>
      <c r="J38" s="222"/>
      <c r="K38" s="223"/>
      <c r="L38" s="223"/>
      <c r="M38" s="223"/>
      <c r="N38" s="223"/>
      <c r="O38" s="224"/>
      <c r="P38" s="213"/>
      <c r="Q38" s="214"/>
      <c r="R38" s="214"/>
      <c r="S38" s="214"/>
      <c r="T38" s="214"/>
      <c r="U38" s="214"/>
      <c r="V38" s="213"/>
      <c r="W38" s="214" t="str">
        <f>IF(AND('Mapa final'!$AF$28="Baja",'Mapa final'!$AH$28="Moderado"),CONCATENATE("R1C",'Mapa final'!$A$28),"")</f>
        <v>R1CG7</v>
      </c>
      <c r="X38" s="214" t="str">
        <f>IF(AND('Mapa final'!$AF$64="Baja",'Mapa final'!$AH$64="Moderado"),CONCATENATE("R1C",'Mapa final'!$A$64),"")</f>
        <v>R1CG24</v>
      </c>
      <c r="Y38" s="214" t="str">
        <f>IF(AND('Mapa final'!$AF$61="Baja",'Mapa final'!$AH$61="Moderado"),CONCATENATE("R1C",'Mapa final'!$A$61),"")</f>
        <v>R1CG22</v>
      </c>
      <c r="Z38" s="214" t="str">
        <f>IF(AND('Mapa final'!$AF$16="Baja",'Mapa final'!$AH$16="Moderado"),CONCATENATE("R1C",'Mapa final'!$A$16),"")</f>
        <v>R1CG2</v>
      </c>
      <c r="AA38" s="215"/>
      <c r="AB38" s="201"/>
      <c r="AC38" s="202"/>
      <c r="AD38" s="225" t="str">
        <f>IF(AND('Mapa final'!$AF$19="Baja",'Mapa final'!$AH$19="Mayor"),CONCATENATE("R1C",'Mapa final'!$A$19),"")</f>
        <v>R1CG4</v>
      </c>
      <c r="AE38" s="202"/>
      <c r="AF38" s="202"/>
      <c r="AG38" s="203"/>
      <c r="AH38" s="191"/>
      <c r="AI38" s="192"/>
      <c r="AJ38" s="192"/>
      <c r="AK38" s="192"/>
      <c r="AL38" s="192"/>
      <c r="AM38" s="193"/>
      <c r="AN38" s="42"/>
      <c r="AO38" s="566"/>
      <c r="AP38" s="567"/>
      <c r="AQ38" s="567"/>
      <c r="AR38" s="567"/>
      <c r="AS38" s="567"/>
      <c r="AT38" s="568"/>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row>
    <row r="39" spans="1:80" ht="32.25" customHeight="1" x14ac:dyDescent="0.45">
      <c r="A39" s="42"/>
      <c r="B39" s="416"/>
      <c r="C39" s="416"/>
      <c r="D39" s="417"/>
      <c r="E39" s="545"/>
      <c r="F39" s="546"/>
      <c r="G39" s="546"/>
      <c r="H39" s="546"/>
      <c r="I39" s="544"/>
      <c r="J39" s="222"/>
      <c r="K39" s="223"/>
      <c r="L39" s="223"/>
      <c r="M39" s="223"/>
      <c r="N39" s="223"/>
      <c r="O39" s="224"/>
      <c r="P39" s="213"/>
      <c r="Q39" s="214"/>
      <c r="R39" s="214"/>
      <c r="S39" s="214"/>
      <c r="T39" s="214" t="str">
        <f>IF(AND('Mapa final'!$AF$46="Baja",'Mapa final'!$AH$46="Menor"),CONCATENATE("R1C",'Mapa final'!$A$46),"")</f>
        <v>R1CG15</v>
      </c>
      <c r="U39" s="214"/>
      <c r="V39" s="213" t="str">
        <f>IF(AND('Mapa final'!$AF$17="Baja",'Mapa final'!$AH$17="Moderado"),CONCATENATE("R4C",'Mapa final'!$V$17),"")</f>
        <v/>
      </c>
      <c r="W39" s="214" t="str">
        <f>IF(AND('Mapa final'!$AF$18="Baja",'Mapa final'!$AH$18="Moderado"),CONCATENATE("R4C",'Mapa final'!$V$18),"")</f>
        <v/>
      </c>
      <c r="X39" s="214"/>
      <c r="Y39" s="214"/>
      <c r="Z39" s="214"/>
      <c r="AA39" s="215"/>
      <c r="AB39" s="201"/>
      <c r="AC39" s="202"/>
      <c r="AD39" s="202"/>
      <c r="AE39" s="202"/>
      <c r="AF39" s="202"/>
      <c r="AG39" s="203"/>
      <c r="AH39" s="191"/>
      <c r="AI39" s="192"/>
      <c r="AJ39" s="192"/>
      <c r="AK39" s="192"/>
      <c r="AL39" s="192"/>
      <c r="AM39" s="193"/>
      <c r="AN39" s="42"/>
      <c r="AO39" s="566"/>
      <c r="AP39" s="567"/>
      <c r="AQ39" s="567"/>
      <c r="AR39" s="567"/>
      <c r="AS39" s="567"/>
      <c r="AT39" s="568"/>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row>
    <row r="40" spans="1:80" ht="34.5" customHeight="1" x14ac:dyDescent="0.45">
      <c r="A40" s="42"/>
      <c r="B40" s="416"/>
      <c r="C40" s="416"/>
      <c r="D40" s="417"/>
      <c r="E40" s="545"/>
      <c r="F40" s="546"/>
      <c r="G40" s="546"/>
      <c r="H40" s="546"/>
      <c r="I40" s="544"/>
      <c r="J40" s="222"/>
      <c r="K40" s="223"/>
      <c r="L40" s="223"/>
      <c r="M40" s="223"/>
      <c r="N40" s="223"/>
      <c r="O40" s="224"/>
      <c r="P40" s="213"/>
      <c r="Q40" s="214"/>
      <c r="R40" s="214"/>
      <c r="S40" s="214"/>
      <c r="T40" s="214"/>
      <c r="U40" s="214"/>
      <c r="V40" s="213"/>
      <c r="W40" s="214" t="str">
        <f>IF(AND('Mapa final'!$AF$20="Baja",'Mapa final'!$AH$20="Moderado"),CONCATENATE("R5C",'Mapa final'!$V$20),"")</f>
        <v/>
      </c>
      <c r="X40" s="214"/>
      <c r="Y40" s="214"/>
      <c r="Z40" s="214"/>
      <c r="AA40" s="215"/>
      <c r="AB40" s="201"/>
      <c r="AC40" s="202"/>
      <c r="AD40" s="204"/>
      <c r="AE40" s="204"/>
      <c r="AF40" s="204"/>
      <c r="AG40" s="203"/>
      <c r="AH40" s="191"/>
      <c r="AI40" s="192"/>
      <c r="AJ40" s="192"/>
      <c r="AK40" s="192"/>
      <c r="AL40" s="192"/>
      <c r="AM40" s="193"/>
      <c r="AN40" s="42"/>
      <c r="AO40" s="566"/>
      <c r="AP40" s="567"/>
      <c r="AQ40" s="567"/>
      <c r="AR40" s="567"/>
      <c r="AS40" s="567"/>
      <c r="AT40" s="568"/>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row>
    <row r="41" spans="1:80" ht="37.5" customHeight="1" x14ac:dyDescent="0.45">
      <c r="A41" s="42"/>
      <c r="B41" s="416"/>
      <c r="C41" s="416"/>
      <c r="D41" s="417"/>
      <c r="E41" s="545"/>
      <c r="F41" s="546"/>
      <c r="G41" s="546"/>
      <c r="H41" s="546"/>
      <c r="I41" s="544"/>
      <c r="J41" s="222"/>
      <c r="K41" s="223"/>
      <c r="L41" s="223"/>
      <c r="M41" s="223"/>
      <c r="N41" s="223"/>
      <c r="O41" s="224"/>
      <c r="P41" s="213"/>
      <c r="Q41" s="214"/>
      <c r="R41" s="214"/>
      <c r="S41" s="214"/>
      <c r="T41" s="214"/>
      <c r="U41" s="214"/>
      <c r="V41" s="213" t="str">
        <f>IF(AND('Mapa final'!$AF$15="Baja",'Mapa final'!$AH$15="Moderado"),CONCATENATE("R1C",'Mapa final'!$A$15),"")</f>
        <v>R1CG1</v>
      </c>
      <c r="W41" s="214" t="str">
        <f>IF(AND('Mapa final'!$AF$24="Baja",'Mapa final'!$AH$24="Moderado"),CONCATENATE("R6C",'Mapa final'!$V$24),"")</f>
        <v/>
      </c>
      <c r="X41" s="214"/>
      <c r="Y41" s="214"/>
      <c r="Z41" s="214"/>
      <c r="AA41" s="215"/>
      <c r="AB41" s="201"/>
      <c r="AC41" s="202"/>
      <c r="AD41" s="204"/>
      <c r="AE41" s="204"/>
      <c r="AF41" s="204"/>
      <c r="AG41" s="203"/>
      <c r="AH41" s="191"/>
      <c r="AI41" s="192"/>
      <c r="AJ41" s="192"/>
      <c r="AK41" s="192"/>
      <c r="AL41" s="192"/>
      <c r="AM41" s="193"/>
      <c r="AN41" s="42"/>
      <c r="AO41" s="566"/>
      <c r="AP41" s="567"/>
      <c r="AQ41" s="567"/>
      <c r="AR41" s="567"/>
      <c r="AS41" s="567"/>
      <c r="AT41" s="568"/>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row>
    <row r="42" spans="1:80" ht="15" customHeight="1" x14ac:dyDescent="0.45">
      <c r="A42" s="42"/>
      <c r="B42" s="416"/>
      <c r="C42" s="416"/>
      <c r="D42" s="417"/>
      <c r="E42" s="545"/>
      <c r="F42" s="546"/>
      <c r="G42" s="546"/>
      <c r="H42" s="546"/>
      <c r="I42" s="544"/>
      <c r="J42" s="222"/>
      <c r="K42" s="223"/>
      <c r="L42" s="223"/>
      <c r="M42" s="223"/>
      <c r="N42" s="223"/>
      <c r="O42" s="224"/>
      <c r="P42" s="213"/>
      <c r="Q42" s="214"/>
      <c r="R42" s="214"/>
      <c r="S42" s="214"/>
      <c r="T42" s="214"/>
      <c r="U42" s="214"/>
      <c r="V42" s="213"/>
      <c r="W42" s="214" t="str">
        <f>IF(AND('Mapa final'!$AF$24="Baja",'Mapa final'!$AH$24="Moderado"),CONCATENATE("R6C",'Mapa final'!$V$24),"")</f>
        <v/>
      </c>
      <c r="X42" s="214"/>
      <c r="Y42" s="214"/>
      <c r="Z42" s="214"/>
      <c r="AA42" s="215"/>
      <c r="AB42" s="201"/>
      <c r="AC42" s="202"/>
      <c r="AD42" s="204"/>
      <c r="AE42" s="204"/>
      <c r="AF42" s="204"/>
      <c r="AG42" s="203"/>
      <c r="AH42" s="191"/>
      <c r="AI42" s="192"/>
      <c r="AJ42" s="192"/>
      <c r="AK42" s="192"/>
      <c r="AL42" s="192"/>
      <c r="AM42" s="193"/>
      <c r="AN42" s="42"/>
      <c r="AO42" s="566"/>
      <c r="AP42" s="567"/>
      <c r="AQ42" s="567"/>
      <c r="AR42" s="567"/>
      <c r="AS42" s="567"/>
      <c r="AT42" s="568"/>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row>
    <row r="43" spans="1:80" ht="36" customHeight="1" x14ac:dyDescent="0.45">
      <c r="A43" s="42"/>
      <c r="B43" s="416"/>
      <c r="C43" s="416"/>
      <c r="D43" s="417"/>
      <c r="E43" s="545"/>
      <c r="F43" s="546"/>
      <c r="G43" s="546"/>
      <c r="H43" s="546"/>
      <c r="I43" s="544"/>
      <c r="J43" s="222"/>
      <c r="K43" s="223"/>
      <c r="L43" s="223"/>
      <c r="M43" s="223"/>
      <c r="N43" s="223"/>
      <c r="O43" s="224"/>
      <c r="P43" s="213"/>
      <c r="Q43" s="214"/>
      <c r="R43" s="214"/>
      <c r="S43" s="214" t="str">
        <f>IF(AND('Mapa final'!$AF$35="Baja",'Mapa final'!$AH$35="Menor"),CONCATENATE("R1C",'Mapa final'!$A$35),"")</f>
        <v>R1CG10</v>
      </c>
      <c r="T43" s="214"/>
      <c r="U43" s="214"/>
      <c r="V43" s="213" t="str">
        <f>IF(AND('Mapa final'!$AF$26="Baja",'Mapa final'!$AH$26="Moderado"),CONCATENATE("R1C",'Mapa final'!$A$26),"")</f>
        <v>R1CG6</v>
      </c>
      <c r="W43" s="214" t="str">
        <f>IF(AND('Mapa final'!$AF$24="Baja",'Mapa final'!$AH$24="Moderado"),CONCATENATE("R6C",'Mapa final'!$V$24),"")</f>
        <v/>
      </c>
      <c r="X43" s="214"/>
      <c r="Y43" s="214"/>
      <c r="Z43" s="214"/>
      <c r="AA43" s="215"/>
      <c r="AB43" s="201"/>
      <c r="AC43" s="202"/>
      <c r="AD43" s="204"/>
      <c r="AE43" s="204"/>
      <c r="AF43" s="204"/>
      <c r="AG43" s="203"/>
      <c r="AH43" s="191"/>
      <c r="AI43" s="192"/>
      <c r="AJ43" s="192"/>
      <c r="AK43" s="192"/>
      <c r="AL43" s="192"/>
      <c r="AM43" s="193"/>
      <c r="AN43" s="42"/>
      <c r="AO43" s="566"/>
      <c r="AP43" s="567"/>
      <c r="AQ43" s="567"/>
      <c r="AR43" s="567"/>
      <c r="AS43" s="567"/>
      <c r="AT43" s="568"/>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row>
    <row r="44" spans="1:80" ht="30.75" customHeight="1" x14ac:dyDescent="0.45">
      <c r="A44" s="42"/>
      <c r="B44" s="416"/>
      <c r="C44" s="416"/>
      <c r="D44" s="417"/>
      <c r="E44" s="545"/>
      <c r="F44" s="546"/>
      <c r="G44" s="546"/>
      <c r="H44" s="546"/>
      <c r="I44" s="544"/>
      <c r="J44" s="222"/>
      <c r="K44" s="223"/>
      <c r="L44" s="223"/>
      <c r="M44" s="223"/>
      <c r="N44" s="223"/>
      <c r="O44" s="224"/>
      <c r="P44" s="213"/>
      <c r="Q44" s="214" t="str">
        <f>IF(AND('Mapa final'!$AF$33="Baja",'Mapa final'!$AH$33="Menor"),CONCATENATE("R1C",'Mapa final'!$A$33),"")</f>
        <v>R1CG9</v>
      </c>
      <c r="R44" s="214" t="str">
        <f>IF(AND('Mapa final'!$AF$55="Baja",'Mapa final'!$AH$55="Menor"),CONCATENATE("R1C",'Mapa final'!$A$55),"")</f>
        <v>R1CG19</v>
      </c>
      <c r="S44" s="214" t="str">
        <f>IF(AND('Mapa final'!$AF$39="Baja",'Mapa final'!$AH$39="Menor"),CONCATENATE("R1C",'Mapa final'!$A$39),"")</f>
        <v>R1CG12</v>
      </c>
      <c r="T44" s="214"/>
      <c r="U44" s="214"/>
      <c r="V44" s="213" t="str">
        <f>IF(AND('Mapa final'!$AF$30="Baja",'Mapa final'!$AH$30="Moderado"),CONCATENATE("R9C",'Mapa final'!$V$30),"")</f>
        <v/>
      </c>
      <c r="W44" s="214" t="str">
        <f>IF(AND('Mapa final'!$AF$31="Baja",'Mapa final'!$AH$31="Moderado"),CONCATENATE("R9C",'Mapa final'!$V$31),"")</f>
        <v/>
      </c>
      <c r="X44" s="214"/>
      <c r="Y44" s="214"/>
      <c r="Z44" s="214"/>
      <c r="AA44" s="215"/>
      <c r="AB44" s="201"/>
      <c r="AC44" s="202"/>
      <c r="AD44" s="204"/>
      <c r="AE44" s="204"/>
      <c r="AF44" s="204"/>
      <c r="AG44" s="203"/>
      <c r="AH44" s="191"/>
      <c r="AI44" s="192"/>
      <c r="AJ44" s="192"/>
      <c r="AK44" s="192" t="str">
        <f>IF(AND('Mapa final'!$AF$37="Baja",'Mapa final'!$AH$37="Catastrófico"),CONCATENATE("R1C",'Mapa final'!$A$37),"")</f>
        <v>R1CG11</v>
      </c>
      <c r="AL44" s="192"/>
      <c r="AM44" s="193"/>
      <c r="AN44" s="42"/>
      <c r="AO44" s="566"/>
      <c r="AP44" s="567"/>
      <c r="AQ44" s="567"/>
      <c r="AR44" s="567"/>
      <c r="AS44" s="567"/>
      <c r="AT44" s="568"/>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row>
    <row r="45" spans="1:80" ht="15.75" customHeight="1" thickBot="1" x14ac:dyDescent="0.5">
      <c r="A45" s="42"/>
      <c r="B45" s="416"/>
      <c r="C45" s="416"/>
      <c r="D45" s="417"/>
      <c r="E45" s="547"/>
      <c r="F45" s="548"/>
      <c r="G45" s="548"/>
      <c r="H45" s="548"/>
      <c r="I45" s="548"/>
      <c r="J45" s="226"/>
      <c r="K45" s="227"/>
      <c r="L45" s="227"/>
      <c r="M45" s="227"/>
      <c r="N45" s="227"/>
      <c r="O45" s="228"/>
      <c r="P45" s="216"/>
      <c r="Q45" s="217"/>
      <c r="R45" s="217"/>
      <c r="S45" s="217"/>
      <c r="T45" s="217"/>
      <c r="U45" s="217"/>
      <c r="V45" s="216" t="str">
        <f>IF(AND('Mapa final'!$AF$33="Baja",'Mapa final'!$AH$33="Moderado"),CONCATENATE("R10C",'Mapa final'!$V$33),"")</f>
        <v/>
      </c>
      <c r="W45" s="217" t="str">
        <f>IF(AND('Mapa final'!$AF$34="Baja",'Mapa final'!$AH$34="Moderado"),CONCATENATE("R10C",'Mapa final'!$V$34),"")</f>
        <v/>
      </c>
      <c r="X45" s="217"/>
      <c r="Y45" s="217"/>
      <c r="Z45" s="217"/>
      <c r="AA45" s="218"/>
      <c r="AB45" s="205"/>
      <c r="AC45" s="206"/>
      <c r="AD45" s="206"/>
      <c r="AE45" s="206"/>
      <c r="AF45" s="206"/>
      <c r="AG45" s="207"/>
      <c r="AH45" s="194"/>
      <c r="AI45" s="195"/>
      <c r="AJ45" s="195"/>
      <c r="AK45" s="195"/>
      <c r="AL45" s="195"/>
      <c r="AM45" s="196"/>
      <c r="AN45" s="42"/>
      <c r="AO45" s="569"/>
      <c r="AP45" s="570"/>
      <c r="AQ45" s="570"/>
      <c r="AR45" s="570"/>
      <c r="AS45" s="570"/>
      <c r="AT45" s="571"/>
    </row>
    <row r="46" spans="1:80" ht="33" customHeight="1" x14ac:dyDescent="0.45">
      <c r="A46" s="42"/>
      <c r="B46" s="416"/>
      <c r="C46" s="416"/>
      <c r="D46" s="417"/>
      <c r="E46" s="541" t="s">
        <v>111</v>
      </c>
      <c r="F46" s="542"/>
      <c r="G46" s="542"/>
      <c r="H46" s="542"/>
      <c r="I46" s="560"/>
      <c r="J46" s="219"/>
      <c r="K46" s="220"/>
      <c r="L46" s="220"/>
      <c r="M46" s="220"/>
      <c r="N46" s="220"/>
      <c r="O46" s="221"/>
      <c r="P46" s="219"/>
      <c r="Q46" s="220"/>
      <c r="R46" s="220"/>
      <c r="S46" s="220"/>
      <c r="T46" s="220"/>
      <c r="U46" s="220"/>
      <c r="V46" s="200"/>
      <c r="W46" s="208"/>
      <c r="X46" s="208"/>
      <c r="Y46" s="208"/>
      <c r="Z46" s="208"/>
      <c r="AA46" s="209"/>
      <c r="AB46" s="211"/>
      <c r="AC46" s="211"/>
      <c r="AD46" s="211"/>
      <c r="AE46" s="211"/>
      <c r="AF46" s="211"/>
      <c r="AG46" s="212"/>
      <c r="AH46" s="197"/>
      <c r="AI46" s="198"/>
      <c r="AJ46" s="198"/>
      <c r="AK46" s="198"/>
      <c r="AL46" s="198"/>
      <c r="AM46" s="199"/>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row>
    <row r="47" spans="1:80" ht="25.5" customHeight="1" x14ac:dyDescent="0.45">
      <c r="A47" s="42"/>
      <c r="B47" s="416"/>
      <c r="C47" s="416"/>
      <c r="D47" s="417"/>
      <c r="E47" s="543"/>
      <c r="F47" s="544"/>
      <c r="G47" s="544"/>
      <c r="H47" s="544"/>
      <c r="I47" s="561"/>
      <c r="J47" s="222"/>
      <c r="K47" s="223"/>
      <c r="L47" s="223"/>
      <c r="M47" s="223"/>
      <c r="N47" s="223"/>
      <c r="O47" s="224"/>
      <c r="P47" s="222"/>
      <c r="Q47" s="223"/>
      <c r="R47" s="223"/>
      <c r="S47" s="223"/>
      <c r="T47" s="223"/>
      <c r="U47" s="223"/>
      <c r="V47" s="213"/>
      <c r="W47" s="214"/>
      <c r="X47" s="214"/>
      <c r="Y47" s="214"/>
      <c r="Z47" s="214"/>
      <c r="AA47" s="215" t="str">
        <f>IF(AND('Mapa final'!$AF$63="Muy Baja",'Mapa final'!$AH$63="Moderado"),CONCATENATE("R2C",'Mapa final'!$A$62),"")</f>
        <v>R2CG23</v>
      </c>
      <c r="AB47" s="202"/>
      <c r="AC47" s="202"/>
      <c r="AD47" s="202"/>
      <c r="AE47" s="202"/>
      <c r="AF47" s="202"/>
      <c r="AG47" s="203"/>
      <c r="AH47" s="191"/>
      <c r="AI47" s="192"/>
      <c r="AJ47" s="192"/>
      <c r="AK47" s="192"/>
      <c r="AL47" s="192"/>
      <c r="AM47" s="193"/>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row>
    <row r="48" spans="1:80" ht="25.5" customHeight="1" x14ac:dyDescent="0.45">
      <c r="A48" s="42"/>
      <c r="B48" s="416"/>
      <c r="C48" s="416"/>
      <c r="D48" s="417"/>
      <c r="E48" s="543"/>
      <c r="F48" s="544"/>
      <c r="G48" s="544"/>
      <c r="H48" s="544"/>
      <c r="I48" s="561"/>
      <c r="J48" s="222"/>
      <c r="K48" s="223"/>
      <c r="L48" s="223"/>
      <c r="M48" s="223"/>
      <c r="N48" s="223"/>
      <c r="O48" s="224"/>
      <c r="P48" s="222"/>
      <c r="Q48" s="223"/>
      <c r="R48" s="223"/>
      <c r="S48" s="223"/>
      <c r="T48" s="223"/>
      <c r="U48" s="223"/>
      <c r="V48" s="213"/>
      <c r="W48" s="214"/>
      <c r="X48" s="214"/>
      <c r="Y48" s="214"/>
      <c r="Z48" s="214"/>
      <c r="AA48" s="215"/>
      <c r="AB48" s="202"/>
      <c r="AC48" s="202"/>
      <c r="AD48" s="202"/>
      <c r="AE48" s="202"/>
      <c r="AF48" s="202"/>
      <c r="AG48" s="203"/>
      <c r="AH48" s="191"/>
      <c r="AI48" s="192"/>
      <c r="AJ48" s="192"/>
      <c r="AK48" s="192"/>
      <c r="AL48" s="192"/>
      <c r="AM48" s="193"/>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row>
    <row r="49" spans="1:80" ht="15" customHeight="1" x14ac:dyDescent="0.45">
      <c r="A49" s="42"/>
      <c r="B49" s="416"/>
      <c r="C49" s="416"/>
      <c r="D49" s="417"/>
      <c r="E49" s="545"/>
      <c r="F49" s="546"/>
      <c r="G49" s="546"/>
      <c r="H49" s="546"/>
      <c r="I49" s="561"/>
      <c r="J49" s="222"/>
      <c r="K49" s="223"/>
      <c r="L49" s="223"/>
      <c r="M49" s="223"/>
      <c r="N49" s="223"/>
      <c r="O49" s="224"/>
      <c r="P49" s="222"/>
      <c r="Q49" s="223"/>
      <c r="R49" s="223"/>
      <c r="S49" s="223"/>
      <c r="T49" s="223"/>
      <c r="U49" s="223"/>
      <c r="V49" s="213"/>
      <c r="W49" s="214"/>
      <c r="X49" s="214"/>
      <c r="Y49" s="214"/>
      <c r="Z49" s="214"/>
      <c r="AA49" s="215"/>
      <c r="AB49" s="202"/>
      <c r="AC49" s="202"/>
      <c r="AD49" s="202"/>
      <c r="AE49" s="202"/>
      <c r="AF49" s="202"/>
      <c r="AG49" s="203"/>
      <c r="AH49" s="191"/>
      <c r="AI49" s="192"/>
      <c r="AJ49" s="192"/>
      <c r="AK49" s="192"/>
      <c r="AL49" s="192"/>
      <c r="AM49" s="193"/>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row>
    <row r="50" spans="1:80" ht="15" customHeight="1" x14ac:dyDescent="0.45">
      <c r="A50" s="42"/>
      <c r="B50" s="416"/>
      <c r="C50" s="416"/>
      <c r="D50" s="417"/>
      <c r="E50" s="545"/>
      <c r="F50" s="546"/>
      <c r="G50" s="546"/>
      <c r="H50" s="546"/>
      <c r="I50" s="561"/>
      <c r="J50" s="222"/>
      <c r="K50" s="223"/>
      <c r="L50" s="223"/>
      <c r="M50" s="223"/>
      <c r="N50" s="223"/>
      <c r="O50" s="224"/>
      <c r="P50" s="222"/>
      <c r="Q50" s="223"/>
      <c r="R50" s="223"/>
      <c r="S50" s="223"/>
      <c r="T50" s="223"/>
      <c r="U50" s="223"/>
      <c r="V50" s="213" t="str">
        <f>IF(AND('Mapa final'!$AF$19="Muy Baja",'Mapa final'!$AH$19="Moderado"),CONCATENATE("R5C",'Mapa final'!$V$19),"")</f>
        <v/>
      </c>
      <c r="W50" s="214"/>
      <c r="X50" s="214"/>
      <c r="Y50" s="214"/>
      <c r="Z50" s="214"/>
      <c r="AA50" s="215"/>
      <c r="AB50" s="202"/>
      <c r="AC50" s="202"/>
      <c r="AD50" s="204"/>
      <c r="AE50" s="204"/>
      <c r="AF50" s="204"/>
      <c r="AG50" s="203"/>
      <c r="AH50" s="191"/>
      <c r="AI50" s="192"/>
      <c r="AJ50" s="192"/>
      <c r="AK50" s="192"/>
      <c r="AL50" s="192"/>
      <c r="AM50" s="193"/>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row>
    <row r="51" spans="1:80" ht="15" customHeight="1" x14ac:dyDescent="0.45">
      <c r="A51" s="42"/>
      <c r="B51" s="416"/>
      <c r="C51" s="416"/>
      <c r="D51" s="417"/>
      <c r="E51" s="545"/>
      <c r="F51" s="546"/>
      <c r="G51" s="546"/>
      <c r="H51" s="546"/>
      <c r="I51" s="561"/>
      <c r="J51" s="222"/>
      <c r="K51" s="223"/>
      <c r="L51" s="223"/>
      <c r="M51" s="223"/>
      <c r="N51" s="223"/>
      <c r="O51" s="224"/>
      <c r="P51" s="222"/>
      <c r="Q51" s="223"/>
      <c r="R51" s="223"/>
      <c r="S51" s="223"/>
      <c r="T51" s="223"/>
      <c r="U51" s="223"/>
      <c r="V51" s="213" t="str">
        <f>IF(AND('Mapa final'!$AF$23="Muy Baja",'Mapa final'!$AH$23="Moderado"),CONCATENATE("R6C",'Mapa final'!$V$23),"")</f>
        <v/>
      </c>
      <c r="W51" s="214"/>
      <c r="X51" s="214"/>
      <c r="Y51" s="214"/>
      <c r="Z51" s="214"/>
      <c r="AA51" s="215"/>
      <c r="AB51" s="202"/>
      <c r="AC51" s="202"/>
      <c r="AD51" s="204"/>
      <c r="AE51" s="204"/>
      <c r="AF51" s="204"/>
      <c r="AG51" s="203"/>
      <c r="AH51" s="191"/>
      <c r="AI51" s="192"/>
      <c r="AJ51" s="192"/>
      <c r="AK51" s="192"/>
      <c r="AL51" s="192"/>
      <c r="AM51" s="193"/>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row>
    <row r="52" spans="1:80" ht="15" customHeight="1" x14ac:dyDescent="0.45">
      <c r="A52" s="42"/>
      <c r="B52" s="416"/>
      <c r="C52" s="416"/>
      <c r="D52" s="417"/>
      <c r="E52" s="545"/>
      <c r="F52" s="546"/>
      <c r="G52" s="546"/>
      <c r="H52" s="546"/>
      <c r="I52" s="561"/>
      <c r="J52" s="222"/>
      <c r="K52" s="223"/>
      <c r="L52" s="223"/>
      <c r="M52" s="223"/>
      <c r="N52" s="223"/>
      <c r="O52" s="224"/>
      <c r="P52" s="222"/>
      <c r="Q52" s="223"/>
      <c r="R52" s="223"/>
      <c r="S52" s="223"/>
      <c r="T52" s="223"/>
      <c r="U52" s="223"/>
      <c r="V52" s="213" t="str">
        <f>IF(AND('Mapa final'!$AF$26="Muy Baja",'Mapa final'!$AH$26="Moderado"),CONCATENATE("R7C",'Mapa final'!$V$26),"")</f>
        <v/>
      </c>
      <c r="W52" s="214"/>
      <c r="X52" s="214"/>
      <c r="Y52" s="214"/>
      <c r="Z52" s="214"/>
      <c r="AA52" s="215"/>
      <c r="AB52" s="202"/>
      <c r="AC52" s="202"/>
      <c r="AD52" s="204"/>
      <c r="AE52" s="204"/>
      <c r="AF52" s="204"/>
      <c r="AG52" s="203"/>
      <c r="AH52" s="191"/>
      <c r="AI52" s="192"/>
      <c r="AJ52" s="192"/>
      <c r="AK52" s="192"/>
      <c r="AL52" s="192"/>
      <c r="AM52" s="193"/>
      <c r="AN52" s="42"/>
      <c r="AO52" s="42"/>
      <c r="AP52" s="42"/>
      <c r="AQ52" s="42"/>
      <c r="AR52" s="42"/>
      <c r="AS52" s="42"/>
      <c r="AT52" s="42"/>
      <c r="AU52" s="42"/>
      <c r="AV52" s="42"/>
      <c r="AW52" s="42"/>
      <c r="AX52" s="42"/>
      <c r="AY52" s="42"/>
      <c r="AZ52" s="42"/>
      <c r="BA52" s="42"/>
      <c r="BB52" s="42"/>
      <c r="BC52" s="42"/>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row>
    <row r="53" spans="1:80" ht="15" customHeight="1" x14ac:dyDescent="0.45">
      <c r="A53" s="42"/>
      <c r="B53" s="416"/>
      <c r="C53" s="416"/>
      <c r="D53" s="417"/>
      <c r="E53" s="545"/>
      <c r="F53" s="546"/>
      <c r="G53" s="546"/>
      <c r="H53" s="546"/>
      <c r="I53" s="561"/>
      <c r="J53" s="222"/>
      <c r="K53" s="223"/>
      <c r="L53" s="223"/>
      <c r="M53" s="223"/>
      <c r="N53" s="223"/>
      <c r="O53" s="224"/>
      <c r="P53" s="222"/>
      <c r="Q53" s="223"/>
      <c r="R53" s="223"/>
      <c r="S53" s="223"/>
      <c r="T53" s="223"/>
      <c r="U53" s="223"/>
      <c r="V53" s="213" t="str">
        <f>IF(AND('Mapa final'!$AF$28="Muy Baja",'Mapa final'!$AH$28="Moderado"),CONCATENATE("R8C",'Mapa final'!$V$28),"")</f>
        <v/>
      </c>
      <c r="W53" s="214"/>
      <c r="X53" s="214"/>
      <c r="Y53" s="214"/>
      <c r="Z53" s="214"/>
      <c r="AA53" s="215"/>
      <c r="AB53" s="202"/>
      <c r="AC53" s="202"/>
      <c r="AD53" s="204"/>
      <c r="AE53" s="204"/>
      <c r="AF53" s="204"/>
      <c r="AG53" s="203"/>
      <c r="AH53" s="191"/>
      <c r="AI53" s="192"/>
      <c r="AJ53" s="192"/>
      <c r="AK53" s="192"/>
      <c r="AL53" s="192"/>
      <c r="AM53" s="193"/>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row>
    <row r="54" spans="1:80" ht="26.25" customHeight="1" x14ac:dyDescent="0.45">
      <c r="A54" s="42"/>
      <c r="B54" s="416"/>
      <c r="C54" s="416"/>
      <c r="D54" s="417"/>
      <c r="E54" s="545"/>
      <c r="F54" s="546"/>
      <c r="G54" s="546"/>
      <c r="H54" s="546"/>
      <c r="I54" s="561"/>
      <c r="J54" s="222" t="str">
        <f>IF(AND('Mapa final'!$AF$30="Muy Baja",'Mapa final'!$AH$30="Leve"),CONCATENATE("R9C",'Mapa final'!$V$30),"")</f>
        <v/>
      </c>
      <c r="K54" s="223" t="str">
        <f>IF(AND('Mapa final'!$AF$31="Muy Baja",'Mapa final'!$AH$31="Leve"),CONCATENATE("R9C",'Mapa final'!$V$31),"")</f>
        <v/>
      </c>
      <c r="L54" s="223"/>
      <c r="M54" s="223"/>
      <c r="N54" s="223"/>
      <c r="O54" s="224"/>
      <c r="P54" s="222" t="str">
        <f>IF(AND('Mapa final'!$AF$30="Muy Baja",'Mapa final'!$AH$30="Menor"),CONCATENATE("R9C",'Mapa final'!$V$30),"")</f>
        <v/>
      </c>
      <c r="Q54" s="223"/>
      <c r="R54" s="223"/>
      <c r="S54" s="223"/>
      <c r="T54" s="223" t="str">
        <f>IF(AND('Mapa final'!$AF$59="Muy Baja",'Mapa final'!$AH$59="Menor"),CONCATENATE("R2C",'Mapa final'!$A$58),"")</f>
        <v>R2CG20</v>
      </c>
      <c r="U54" s="223"/>
      <c r="V54" s="213" t="str">
        <f>IF(AND('Mapa final'!$AF$30="Muy Baja",'Mapa final'!$AH$30="Moderado"),CONCATENATE("R9C",'Mapa final'!$V$30),"")</f>
        <v/>
      </c>
      <c r="W54" s="214"/>
      <c r="X54" s="214"/>
      <c r="Y54" s="214"/>
      <c r="Z54" s="214" t="str">
        <f>IF(AND('Mapa final'!$AF$43="Baja",'Mapa final'!$AH$43="Moderado"),CONCATENATE("R4C",'Mapa final'!$A$40),"")</f>
        <v>R4CG13</v>
      </c>
      <c r="AA54" s="215"/>
      <c r="AB54" s="202"/>
      <c r="AC54" s="202"/>
      <c r="AD54" s="204"/>
      <c r="AE54" s="204"/>
      <c r="AF54" s="204"/>
      <c r="AG54" s="203"/>
      <c r="AH54" s="191"/>
      <c r="AI54" s="192"/>
      <c r="AJ54" s="192"/>
      <c r="AK54" s="192"/>
      <c r="AL54" s="192"/>
      <c r="AM54" s="193"/>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row>
    <row r="55" spans="1:80" ht="33.75" customHeight="1" thickBot="1" x14ac:dyDescent="0.5">
      <c r="A55" s="42"/>
      <c r="B55" s="416"/>
      <c r="C55" s="416"/>
      <c r="D55" s="417"/>
      <c r="E55" s="547"/>
      <c r="F55" s="548"/>
      <c r="G55" s="548"/>
      <c r="H55" s="548"/>
      <c r="I55" s="562"/>
      <c r="J55" s="226" t="str">
        <f>IF(AND('Mapa final'!$AF$17="Muy Baja",'Mapa final'!$AH$17="Leve"),CONCATENATE("R2C",'Mapa final'!$A$17),"")</f>
        <v>R2CG3</v>
      </c>
      <c r="K55" s="227" t="str">
        <f>IF(AND('Mapa final'!$AF$34="Muy Baja",'Mapa final'!$AH$34="Leve"),CONCATENATE("R10C",'Mapa final'!$V$34),"")</f>
        <v/>
      </c>
      <c r="L55" s="227"/>
      <c r="M55" s="227"/>
      <c r="N55" s="227"/>
      <c r="O55" s="228"/>
      <c r="P55" s="226" t="str">
        <f>IF(AND('Mapa final'!$AF$33="Muy Baja",'Mapa final'!$AH$33="Menor"),CONCATENATE("R10C",'Mapa final'!$V$33),"")</f>
        <v/>
      </c>
      <c r="Q55" s="227" t="str">
        <f>IF(AND('Mapa final'!$AF$34="Muy Baja",'Mapa final'!$AH$34="Menor"),CONCATENATE("R10C",'Mapa final'!$V$34),"")</f>
        <v/>
      </c>
      <c r="R55" s="227"/>
      <c r="S55" s="229" t="str">
        <f>IF(AND('Mapa final'!$AF$32="Muy Baja",'Mapa final'!$AH$32="Menor"),CONCATENATE("R2C",'Mapa final'!$A$30),"")</f>
        <v>R2CG8</v>
      </c>
      <c r="T55" s="229" t="str">
        <f>IF(AND('Mapa final'!$AF$54="Muy Baja",'Mapa final'!$AH$54="Menor"),CONCATENATE("R2C",'Mapa final'!$A$54),"")</f>
        <v>R2CG18</v>
      </c>
      <c r="U55" s="223"/>
      <c r="V55" s="216" t="str">
        <f>IF(AND('Mapa final'!$AF$33="Muy Baja",'Mapa final'!$AH$33="Moderado"),CONCATENATE("R10C",'Mapa final'!$V$33),"")</f>
        <v/>
      </c>
      <c r="W55" s="217"/>
      <c r="X55" s="217"/>
      <c r="Y55" s="217"/>
      <c r="Z55" s="217"/>
      <c r="AA55" s="218" t="str">
        <f>IF(AND('Mapa final'!$AF$60="Muy Baja",'Mapa final'!$AH$60="Moderado"),CONCATENATE("R1C",'Mapa final'!$A$60),"")</f>
        <v>R1CG21</v>
      </c>
      <c r="AB55" s="206"/>
      <c r="AC55" s="206"/>
      <c r="AD55" s="206"/>
      <c r="AE55" s="206"/>
      <c r="AF55" s="206"/>
      <c r="AG55" s="207"/>
      <c r="AH55" s="194"/>
      <c r="AI55" s="195"/>
      <c r="AJ55" s="195"/>
      <c r="AK55" s="195"/>
      <c r="AL55" s="195"/>
      <c r="AM55" s="196"/>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row>
    <row r="56" spans="1:80" x14ac:dyDescent="0.25">
      <c r="A56" s="42"/>
      <c r="B56" s="42"/>
      <c r="C56" s="42"/>
      <c r="D56" s="42"/>
      <c r="E56" s="42"/>
      <c r="F56" s="42"/>
      <c r="G56" s="42"/>
      <c r="H56" s="42"/>
      <c r="I56" s="42"/>
      <c r="J56" s="541" t="s">
        <v>110</v>
      </c>
      <c r="K56" s="542"/>
      <c r="L56" s="542"/>
      <c r="M56" s="542"/>
      <c r="N56" s="542"/>
      <c r="O56" s="560"/>
      <c r="P56" s="541" t="s">
        <v>109</v>
      </c>
      <c r="Q56" s="542"/>
      <c r="R56" s="542"/>
      <c r="S56" s="542"/>
      <c r="T56" s="542"/>
      <c r="U56" s="560"/>
      <c r="V56" s="543" t="s">
        <v>108</v>
      </c>
      <c r="W56" s="544"/>
      <c r="X56" s="544"/>
      <c r="Y56" s="544"/>
      <c r="Z56" s="544"/>
      <c r="AA56" s="561"/>
      <c r="AB56" s="541" t="s">
        <v>107</v>
      </c>
      <c r="AC56" s="581"/>
      <c r="AD56" s="542"/>
      <c r="AE56" s="542"/>
      <c r="AF56" s="542"/>
      <c r="AG56" s="560"/>
      <c r="AH56" s="541" t="s">
        <v>106</v>
      </c>
      <c r="AI56" s="542"/>
      <c r="AJ56" s="542"/>
      <c r="AK56" s="542"/>
      <c r="AL56" s="542"/>
      <c r="AM56" s="560"/>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row>
    <row r="57" spans="1:80" x14ac:dyDescent="0.25">
      <c r="A57" s="42"/>
      <c r="B57" s="42"/>
      <c r="C57" s="42"/>
      <c r="D57" s="42"/>
      <c r="E57" s="42"/>
      <c r="F57" s="42"/>
      <c r="G57" s="42"/>
      <c r="H57" s="42"/>
      <c r="I57" s="42"/>
      <c r="J57" s="545"/>
      <c r="K57" s="546"/>
      <c r="L57" s="546"/>
      <c r="M57" s="546"/>
      <c r="N57" s="546"/>
      <c r="O57" s="561"/>
      <c r="P57" s="545"/>
      <c r="Q57" s="546"/>
      <c r="R57" s="546"/>
      <c r="S57" s="546"/>
      <c r="T57" s="546"/>
      <c r="U57" s="561"/>
      <c r="V57" s="545"/>
      <c r="W57" s="546"/>
      <c r="X57" s="546"/>
      <c r="Y57" s="546"/>
      <c r="Z57" s="546"/>
      <c r="AA57" s="561"/>
      <c r="AB57" s="545"/>
      <c r="AC57" s="546"/>
      <c r="AD57" s="546"/>
      <c r="AE57" s="546"/>
      <c r="AF57" s="546"/>
      <c r="AG57" s="561"/>
      <c r="AH57" s="545"/>
      <c r="AI57" s="546"/>
      <c r="AJ57" s="546"/>
      <c r="AK57" s="546"/>
      <c r="AL57" s="546"/>
      <c r="AM57" s="561"/>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row>
    <row r="58" spans="1:80" x14ac:dyDescent="0.25">
      <c r="A58" s="42"/>
      <c r="B58" s="42"/>
      <c r="C58" s="42"/>
      <c r="D58" s="42"/>
      <c r="E58" s="42"/>
      <c r="F58" s="42"/>
      <c r="G58" s="42"/>
      <c r="H58" s="42"/>
      <c r="I58" s="42"/>
      <c r="J58" s="545"/>
      <c r="K58" s="546"/>
      <c r="L58" s="546"/>
      <c r="M58" s="546"/>
      <c r="N58" s="546"/>
      <c r="O58" s="561"/>
      <c r="P58" s="545"/>
      <c r="Q58" s="546"/>
      <c r="R58" s="546"/>
      <c r="S58" s="546"/>
      <c r="T58" s="546"/>
      <c r="U58" s="561"/>
      <c r="V58" s="545"/>
      <c r="W58" s="546"/>
      <c r="X58" s="546"/>
      <c r="Y58" s="546"/>
      <c r="Z58" s="546"/>
      <c r="AA58" s="561"/>
      <c r="AB58" s="545"/>
      <c r="AC58" s="546"/>
      <c r="AD58" s="546"/>
      <c r="AE58" s="546"/>
      <c r="AF58" s="546"/>
      <c r="AG58" s="561"/>
      <c r="AH58" s="545"/>
      <c r="AI58" s="546"/>
      <c r="AJ58" s="546"/>
      <c r="AK58" s="546"/>
      <c r="AL58" s="546"/>
      <c r="AM58" s="561"/>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row>
    <row r="59" spans="1:80" x14ac:dyDescent="0.25">
      <c r="A59" s="42"/>
      <c r="B59" s="42"/>
      <c r="C59" s="42"/>
      <c r="D59" s="42"/>
      <c r="E59" s="42"/>
      <c r="F59" s="42"/>
      <c r="G59" s="42"/>
      <c r="H59" s="42"/>
      <c r="I59" s="42"/>
      <c r="J59" s="545"/>
      <c r="K59" s="546"/>
      <c r="L59" s="546"/>
      <c r="M59" s="546"/>
      <c r="N59" s="546"/>
      <c r="O59" s="561"/>
      <c r="P59" s="545"/>
      <c r="Q59" s="546"/>
      <c r="R59" s="546"/>
      <c r="S59" s="546"/>
      <c r="T59" s="546"/>
      <c r="U59" s="561"/>
      <c r="V59" s="545"/>
      <c r="W59" s="546"/>
      <c r="X59" s="546"/>
      <c r="Y59" s="546"/>
      <c r="Z59" s="546"/>
      <c r="AA59" s="561"/>
      <c r="AB59" s="545"/>
      <c r="AC59" s="546"/>
      <c r="AD59" s="546"/>
      <c r="AE59" s="546"/>
      <c r="AF59" s="546"/>
      <c r="AG59" s="561"/>
      <c r="AH59" s="545"/>
      <c r="AI59" s="546"/>
      <c r="AJ59" s="546"/>
      <c r="AK59" s="546"/>
      <c r="AL59" s="546"/>
      <c r="AM59" s="561"/>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row>
    <row r="60" spans="1:80" x14ac:dyDescent="0.25">
      <c r="A60" s="42"/>
      <c r="B60" s="42"/>
      <c r="C60" s="42"/>
      <c r="D60" s="42"/>
      <c r="E60" s="42"/>
      <c r="F60" s="42"/>
      <c r="G60" s="42"/>
      <c r="H60" s="42"/>
      <c r="I60" s="42"/>
      <c r="J60" s="545"/>
      <c r="K60" s="546"/>
      <c r="L60" s="546"/>
      <c r="M60" s="546"/>
      <c r="N60" s="546"/>
      <c r="O60" s="561"/>
      <c r="P60" s="545"/>
      <c r="Q60" s="546"/>
      <c r="R60" s="546"/>
      <c r="S60" s="546"/>
      <c r="T60" s="546"/>
      <c r="U60" s="561"/>
      <c r="V60" s="545"/>
      <c r="W60" s="546"/>
      <c r="X60" s="546"/>
      <c r="Y60" s="546"/>
      <c r="Z60" s="546"/>
      <c r="AA60" s="561"/>
      <c r="AB60" s="545"/>
      <c r="AC60" s="546"/>
      <c r="AD60" s="546"/>
      <c r="AE60" s="546"/>
      <c r="AF60" s="546"/>
      <c r="AG60" s="561"/>
      <c r="AH60" s="545"/>
      <c r="AI60" s="546"/>
      <c r="AJ60" s="546"/>
      <c r="AK60" s="546"/>
      <c r="AL60" s="546"/>
      <c r="AM60" s="561"/>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row>
    <row r="61" spans="1:80" ht="15.75" thickBot="1" x14ac:dyDescent="0.3">
      <c r="A61" s="42"/>
      <c r="B61" s="42"/>
      <c r="C61" s="42"/>
      <c r="D61" s="42"/>
      <c r="E61" s="42"/>
      <c r="F61" s="42"/>
      <c r="G61" s="42"/>
      <c r="H61" s="42"/>
      <c r="I61" s="42"/>
      <c r="J61" s="547"/>
      <c r="K61" s="548"/>
      <c r="L61" s="548"/>
      <c r="M61" s="548"/>
      <c r="N61" s="548"/>
      <c r="O61" s="562"/>
      <c r="P61" s="547"/>
      <c r="Q61" s="548"/>
      <c r="R61" s="548"/>
      <c r="S61" s="548"/>
      <c r="T61" s="548"/>
      <c r="U61" s="562"/>
      <c r="V61" s="547"/>
      <c r="W61" s="548"/>
      <c r="X61" s="548"/>
      <c r="Y61" s="548"/>
      <c r="Z61" s="548"/>
      <c r="AA61" s="562"/>
      <c r="AB61" s="547"/>
      <c r="AC61" s="548"/>
      <c r="AD61" s="548"/>
      <c r="AE61" s="548"/>
      <c r="AF61" s="548"/>
      <c r="AG61" s="562"/>
      <c r="AH61" s="547"/>
      <c r="AI61" s="548"/>
      <c r="AJ61" s="548"/>
      <c r="AK61" s="548"/>
      <c r="AL61" s="548"/>
      <c r="AM61" s="56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row>
    <row r="62" spans="1:80" x14ac:dyDescent="0.25">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row>
    <row r="63" spans="1:80" ht="15" customHeight="1" x14ac:dyDescent="0.25">
      <c r="A63" s="42"/>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2"/>
      <c r="AV63" s="42"/>
      <c r="AW63" s="42"/>
      <c r="AX63" s="42"/>
      <c r="AY63" s="42"/>
      <c r="AZ63" s="42"/>
      <c r="BA63" s="42"/>
      <c r="BB63" s="42"/>
      <c r="BC63" s="42"/>
      <c r="BD63" s="42"/>
      <c r="BE63" s="42"/>
      <c r="BF63" s="42"/>
      <c r="BG63" s="42"/>
      <c r="BH63" s="42"/>
    </row>
    <row r="64" spans="1:80" ht="15" customHeight="1" x14ac:dyDescent="0.25">
      <c r="A64" s="42"/>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2"/>
      <c r="AV64" s="42"/>
      <c r="AW64" s="42"/>
      <c r="AX64" s="42"/>
      <c r="AY64" s="42"/>
      <c r="AZ64" s="42"/>
      <c r="BA64" s="42"/>
      <c r="BB64" s="42"/>
      <c r="BC64" s="42"/>
      <c r="BD64" s="42"/>
      <c r="BE64" s="42"/>
      <c r="BF64" s="42"/>
      <c r="BG64" s="42"/>
      <c r="BH64" s="42"/>
    </row>
    <row r="65" spans="1:60" x14ac:dyDescent="0.25">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c r="BH65" s="42"/>
    </row>
    <row r="66" spans="1:60" x14ac:dyDescent="0.25">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row>
    <row r="67" spans="1:60" x14ac:dyDescent="0.25">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row>
    <row r="68" spans="1:60" x14ac:dyDescent="0.25">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row>
    <row r="69" spans="1:60" x14ac:dyDescent="0.25">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row>
    <row r="70" spans="1:60" x14ac:dyDescent="0.2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row>
    <row r="71" spans="1:60" x14ac:dyDescent="0.25">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row>
    <row r="72" spans="1:60" x14ac:dyDescent="0.25">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row>
    <row r="73" spans="1:60" x14ac:dyDescent="0.25">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row>
    <row r="74" spans="1:60" x14ac:dyDescent="0.25">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row>
    <row r="75" spans="1:60" x14ac:dyDescent="0.25">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row>
    <row r="76" spans="1:60" x14ac:dyDescent="0.25">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row>
    <row r="77" spans="1:60" x14ac:dyDescent="0.25">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row>
    <row r="78" spans="1:60" x14ac:dyDescent="0.25">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row>
    <row r="79" spans="1:60" x14ac:dyDescent="0.25">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c r="BH79" s="42"/>
    </row>
    <row r="80" spans="1:60" x14ac:dyDescent="0.25">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row>
    <row r="81" spans="1:60" x14ac:dyDescent="0.25">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row>
    <row r="82" spans="1:60" x14ac:dyDescent="0.25">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row>
    <row r="83" spans="1:60" x14ac:dyDescent="0.25">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row>
    <row r="84" spans="1:60" x14ac:dyDescent="0.25">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row>
    <row r="85" spans="1:60" x14ac:dyDescent="0.25">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row>
    <row r="86" spans="1:60" x14ac:dyDescent="0.25">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row>
    <row r="87" spans="1:60" x14ac:dyDescent="0.25">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row>
    <row r="88" spans="1:60" x14ac:dyDescent="0.25">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row>
    <row r="89" spans="1:60" x14ac:dyDescent="0.25">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row>
    <row r="90" spans="1:60" x14ac:dyDescent="0.25">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row>
    <row r="91" spans="1:60" x14ac:dyDescent="0.25">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row>
    <row r="92" spans="1:60" x14ac:dyDescent="0.25">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row>
    <row r="93" spans="1:60" x14ac:dyDescent="0.25">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row>
    <row r="94" spans="1:60" x14ac:dyDescent="0.25">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row>
    <row r="95" spans="1:60" x14ac:dyDescent="0.25">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row>
    <row r="96" spans="1:60" x14ac:dyDescent="0.25">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row>
    <row r="97" spans="1:60" x14ac:dyDescent="0.25">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row>
    <row r="98" spans="1:60" x14ac:dyDescent="0.25">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row>
    <row r="99" spans="1:60" x14ac:dyDescent="0.25">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row>
    <row r="100" spans="1:60" x14ac:dyDescent="0.25">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row>
    <row r="101" spans="1:60" x14ac:dyDescent="0.25">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row>
    <row r="102" spans="1:60" x14ac:dyDescent="0.25">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row>
    <row r="103" spans="1:60" x14ac:dyDescent="0.25">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row>
    <row r="104" spans="1:60" x14ac:dyDescent="0.25">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row>
    <row r="105" spans="1:60" x14ac:dyDescent="0.25">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row>
    <row r="106" spans="1:60" x14ac:dyDescent="0.25">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row>
    <row r="107" spans="1:60" x14ac:dyDescent="0.25">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row>
    <row r="108" spans="1:60" x14ac:dyDescent="0.25">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row>
    <row r="109" spans="1:60" x14ac:dyDescent="0.25">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row>
    <row r="110" spans="1:60" x14ac:dyDescent="0.25">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row>
    <row r="111" spans="1:60" x14ac:dyDescent="0.2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row>
    <row r="112" spans="1:60" x14ac:dyDescent="0.25">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row>
    <row r="113" spans="1:60" x14ac:dyDescent="0.25">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row>
    <row r="114" spans="1:60" x14ac:dyDescent="0.25">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row>
    <row r="115" spans="1:60" x14ac:dyDescent="0.25">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row>
    <row r="116" spans="1:60" x14ac:dyDescent="0.25">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row>
    <row r="117" spans="1:60" x14ac:dyDescent="0.25">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row>
    <row r="118" spans="1:60" x14ac:dyDescent="0.25">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row>
    <row r="119" spans="1:60" x14ac:dyDescent="0.25">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row>
    <row r="120" spans="1:60" x14ac:dyDescent="0.25">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row>
    <row r="121" spans="1:60" x14ac:dyDescent="0.25">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row>
    <row r="122" spans="1:60" x14ac:dyDescent="0.25">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row>
    <row r="123" spans="1:60" x14ac:dyDescent="0.25">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row>
    <row r="124" spans="1:60" x14ac:dyDescent="0.25">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row>
    <row r="125" spans="1:60" x14ac:dyDescent="0.25">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row>
    <row r="126" spans="1:60" x14ac:dyDescent="0.25">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row>
    <row r="127" spans="1:60" x14ac:dyDescent="0.25">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row>
    <row r="128" spans="1:60" x14ac:dyDescent="0.25">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row>
    <row r="129" spans="1:60" x14ac:dyDescent="0.25">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row>
    <row r="130" spans="1:60" x14ac:dyDescent="0.25">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row>
    <row r="131" spans="1:60" x14ac:dyDescent="0.25">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row>
    <row r="132" spans="1:60" x14ac:dyDescent="0.25">
      <c r="A132" s="42"/>
      <c r="B132" s="42"/>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row>
    <row r="133" spans="1:60" x14ac:dyDescent="0.25">
      <c r="A133" s="42"/>
      <c r="B133" s="42"/>
      <c r="C133" s="42"/>
      <c r="D133" s="42"/>
      <c r="E133" s="42"/>
      <c r="F133" s="42"/>
      <c r="G133" s="42"/>
      <c r="H133" s="42"/>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row>
    <row r="134" spans="1:60" x14ac:dyDescent="0.25">
      <c r="A134" s="42"/>
      <c r="B134" s="42"/>
      <c r="C134" s="42"/>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row>
    <row r="135" spans="1:60" x14ac:dyDescent="0.25">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row>
    <row r="136" spans="1:60" x14ac:dyDescent="0.25">
      <c r="A136" s="42"/>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row>
    <row r="137" spans="1:60" x14ac:dyDescent="0.25">
      <c r="A137" s="42"/>
      <c r="B137" s="42"/>
      <c r="C137" s="42"/>
      <c r="D137" s="42"/>
      <c r="E137" s="42"/>
      <c r="F137" s="42"/>
      <c r="G137" s="42"/>
      <c r="H137" s="42"/>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row>
    <row r="138" spans="1:60" x14ac:dyDescent="0.25">
      <c r="A138" s="4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row>
    <row r="139" spans="1:60" x14ac:dyDescent="0.25">
      <c r="A139" s="42"/>
      <c r="B139" s="42"/>
      <c r="C139" s="42"/>
      <c r="D139" s="42"/>
      <c r="E139" s="42"/>
      <c r="F139" s="42"/>
      <c r="G139" s="42"/>
      <c r="H139" s="42"/>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row>
    <row r="140" spans="1:60" x14ac:dyDescent="0.25">
      <c r="A140" s="42"/>
      <c r="B140" s="42"/>
      <c r="C140" s="42"/>
      <c r="D140" s="42"/>
      <c r="E140" s="42"/>
      <c r="F140" s="42"/>
      <c r="G140" s="42"/>
      <c r="H140" s="42"/>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row>
    <row r="141" spans="1:60" x14ac:dyDescent="0.25">
      <c r="A141" s="42"/>
      <c r="B141" s="42"/>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row>
    <row r="142" spans="1:60" x14ac:dyDescent="0.25">
      <c r="A142" s="42"/>
      <c r="B142" s="42"/>
      <c r="C142" s="42"/>
      <c r="D142" s="42"/>
      <c r="E142" s="42"/>
      <c r="F142" s="42"/>
      <c r="G142" s="42"/>
      <c r="H142" s="42"/>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row>
    <row r="143" spans="1:60" x14ac:dyDescent="0.25">
      <c r="A143" s="4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row>
    <row r="144" spans="1:60" x14ac:dyDescent="0.25">
      <c r="A144" s="4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row>
    <row r="145" spans="1:60" x14ac:dyDescent="0.25">
      <c r="A145" s="42"/>
      <c r="B145" s="42"/>
      <c r="C145" s="42"/>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row>
    <row r="146" spans="1:60" x14ac:dyDescent="0.25">
      <c r="A146" s="42"/>
      <c r="B146" s="42"/>
      <c r="C146" s="42"/>
      <c r="D146" s="42"/>
      <c r="E146" s="42"/>
      <c r="F146" s="42"/>
      <c r="G146" s="42"/>
      <c r="H146" s="42"/>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row>
    <row r="147" spans="1:60" x14ac:dyDescent="0.25">
      <c r="A147" s="42"/>
      <c r="B147" s="42"/>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row>
    <row r="148" spans="1:60" x14ac:dyDescent="0.25">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row>
    <row r="149" spans="1:60" x14ac:dyDescent="0.25">
      <c r="A149" s="42"/>
      <c r="B149" s="42"/>
      <c r="C149" s="42"/>
      <c r="D149" s="42"/>
      <c r="E149" s="42"/>
      <c r="F149" s="42"/>
      <c r="G149" s="42"/>
      <c r="H149" s="42"/>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row>
    <row r="150" spans="1:60" x14ac:dyDescent="0.25">
      <c r="A150" s="42"/>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row>
    <row r="151" spans="1:60" x14ac:dyDescent="0.25">
      <c r="A151" s="42"/>
      <c r="B151" s="42"/>
      <c r="C151" s="42"/>
      <c r="D151" s="42"/>
      <c r="E151" s="42"/>
      <c r="F151" s="42"/>
      <c r="G151" s="42"/>
      <c r="H151" s="42"/>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row>
    <row r="152" spans="1:60" x14ac:dyDescent="0.25">
      <c r="A152" s="4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row>
    <row r="153" spans="1:60" x14ac:dyDescent="0.25">
      <c r="A153" s="42"/>
      <c r="B153" s="42"/>
      <c r="C153" s="42"/>
      <c r="D153" s="42"/>
      <c r="E153" s="42"/>
      <c r="F153" s="42"/>
      <c r="G153" s="42"/>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row>
    <row r="154" spans="1:60" x14ac:dyDescent="0.25">
      <c r="A154" s="42"/>
      <c r="B154" s="42"/>
      <c r="C154" s="42"/>
      <c r="D154" s="42"/>
      <c r="E154" s="42"/>
      <c r="F154" s="42"/>
      <c r="G154" s="42"/>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row>
    <row r="155" spans="1:60" x14ac:dyDescent="0.25">
      <c r="A155" s="42"/>
      <c r="B155" s="42"/>
      <c r="C155" s="42"/>
      <c r="D155" s="42"/>
      <c r="E155" s="42"/>
      <c r="F155" s="42"/>
      <c r="G155" s="42"/>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row>
    <row r="156" spans="1:60" x14ac:dyDescent="0.25">
      <c r="A156" s="42"/>
      <c r="B156" s="42"/>
      <c r="C156" s="42"/>
      <c r="D156" s="42"/>
      <c r="E156" s="42"/>
      <c r="F156" s="42"/>
      <c r="G156" s="42"/>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row>
    <row r="157" spans="1:60" x14ac:dyDescent="0.25">
      <c r="A157" s="42"/>
      <c r="B157" s="42"/>
      <c r="C157" s="42"/>
      <c r="D157" s="42"/>
      <c r="E157" s="42"/>
      <c r="F157" s="42"/>
      <c r="G157" s="42"/>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row>
    <row r="158" spans="1:60" x14ac:dyDescent="0.25">
      <c r="A158" s="42"/>
      <c r="B158" s="42"/>
      <c r="C158" s="42"/>
      <c r="D158" s="42"/>
      <c r="E158" s="42"/>
      <c r="F158" s="42"/>
      <c r="G158" s="42"/>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row>
    <row r="159" spans="1:60" x14ac:dyDescent="0.2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row>
    <row r="160" spans="1:60" x14ac:dyDescent="0.25">
      <c r="A160" s="42"/>
      <c r="B160" s="42"/>
      <c r="C160" s="42"/>
      <c r="D160" s="42"/>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row>
    <row r="161" spans="1:60" x14ac:dyDescent="0.25">
      <c r="A161" s="42"/>
      <c r="B161" s="42"/>
      <c r="C161" s="42"/>
      <c r="D161" s="42"/>
      <c r="E161" s="42"/>
      <c r="F161" s="42"/>
      <c r="G161" s="42"/>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row>
    <row r="162" spans="1:60" x14ac:dyDescent="0.25">
      <c r="A162" s="42"/>
      <c r="B162" s="42"/>
      <c r="C162" s="42"/>
      <c r="D162" s="42"/>
      <c r="E162" s="42"/>
      <c r="F162" s="42"/>
      <c r="G162" s="42"/>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row>
    <row r="163" spans="1:60" x14ac:dyDescent="0.25">
      <c r="A163" s="42"/>
      <c r="B163" s="42"/>
      <c r="C163" s="42"/>
      <c r="D163" s="42"/>
      <c r="E163" s="42"/>
      <c r="F163" s="42"/>
      <c r="G163" s="42"/>
      <c r="H163" s="42"/>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row>
    <row r="164" spans="1:60" x14ac:dyDescent="0.25">
      <c r="A164" s="42"/>
      <c r="B164" s="42"/>
      <c r="C164" s="42"/>
      <c r="D164" s="42"/>
      <c r="E164" s="42"/>
      <c r="F164" s="42"/>
      <c r="G164" s="42"/>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row>
    <row r="165" spans="1:60" x14ac:dyDescent="0.25">
      <c r="A165" s="42"/>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row>
    <row r="166" spans="1:60" x14ac:dyDescent="0.25">
      <c r="A166" s="42"/>
      <c r="B166" s="42"/>
      <c r="C166" s="42"/>
      <c r="D166" s="42"/>
      <c r="E166" s="42"/>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row>
    <row r="167" spans="1:60" x14ac:dyDescent="0.25">
      <c r="A167" s="42"/>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row>
    <row r="168" spans="1:60" x14ac:dyDescent="0.25">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row>
    <row r="169" spans="1:60" x14ac:dyDescent="0.25">
      <c r="A169" s="42"/>
      <c r="B169" s="42"/>
      <c r="C169" s="42"/>
      <c r="D169" s="42"/>
      <c r="E169" s="42"/>
      <c r="F169" s="42"/>
      <c r="G169" s="42"/>
      <c r="H169" s="42"/>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row>
    <row r="170" spans="1:60" x14ac:dyDescent="0.25">
      <c r="A170" s="42"/>
      <c r="B170" s="42"/>
      <c r="C170" s="42"/>
      <c r="D170" s="42"/>
      <c r="E170" s="42"/>
      <c r="F170" s="42"/>
      <c r="G170" s="42"/>
      <c r="H170" s="42"/>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row>
    <row r="171" spans="1:60" x14ac:dyDescent="0.25">
      <c r="A171" s="42"/>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row>
    <row r="172" spans="1:60" x14ac:dyDescent="0.25">
      <c r="A172" s="42"/>
      <c r="B172" s="42"/>
      <c r="C172" s="42"/>
      <c r="D172" s="42"/>
      <c r="E172" s="42"/>
      <c r="F172" s="42"/>
      <c r="G172" s="42"/>
      <c r="H172" s="42"/>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row>
    <row r="173" spans="1:60" x14ac:dyDescent="0.25">
      <c r="A173" s="42"/>
      <c r="B173" s="42"/>
      <c r="C173" s="42"/>
      <c r="D173" s="42"/>
      <c r="E173" s="42"/>
      <c r="F173" s="42"/>
      <c r="G173" s="42"/>
      <c r="H173" s="42"/>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row>
    <row r="174" spans="1:60" x14ac:dyDescent="0.25">
      <c r="A174" s="42"/>
      <c r="B174" s="42"/>
      <c r="C174" s="42"/>
      <c r="D174" s="42"/>
      <c r="E174" s="42"/>
      <c r="F174" s="42"/>
      <c r="G174" s="42"/>
      <c r="H174" s="42"/>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row>
    <row r="175" spans="1:60" x14ac:dyDescent="0.25">
      <c r="A175" s="42"/>
      <c r="B175" s="42"/>
      <c r="C175" s="42"/>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2"/>
      <c r="AP175" s="42"/>
      <c r="AQ175" s="42"/>
      <c r="AR175" s="42"/>
      <c r="AS175" s="42"/>
      <c r="AT175" s="42"/>
      <c r="AU175" s="42"/>
      <c r="AV175" s="42"/>
      <c r="AW175" s="42"/>
      <c r="AX175" s="42"/>
      <c r="AY175" s="42"/>
      <c r="AZ175" s="42"/>
      <c r="BA175" s="42"/>
      <c r="BB175" s="42"/>
      <c r="BC175" s="42"/>
      <c r="BD175" s="42"/>
      <c r="BE175" s="42"/>
      <c r="BF175" s="42"/>
      <c r="BG175" s="42"/>
      <c r="BH175" s="42"/>
    </row>
    <row r="176" spans="1:60" x14ac:dyDescent="0.25">
      <c r="A176" s="42"/>
      <c r="B176" s="42"/>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c r="AN176" s="42"/>
      <c r="AO176" s="42"/>
      <c r="AP176" s="42"/>
      <c r="AQ176" s="42"/>
      <c r="AR176" s="42"/>
      <c r="AS176" s="42"/>
      <c r="AT176" s="42"/>
      <c r="AU176" s="42"/>
      <c r="AV176" s="42"/>
      <c r="AW176" s="42"/>
      <c r="AX176" s="42"/>
      <c r="AY176" s="42"/>
      <c r="AZ176" s="42"/>
      <c r="BA176" s="42"/>
      <c r="BB176" s="42"/>
      <c r="BC176" s="42"/>
      <c r="BD176" s="42"/>
      <c r="BE176" s="42"/>
      <c r="BF176" s="42"/>
      <c r="BG176" s="42"/>
      <c r="BH176" s="42"/>
    </row>
    <row r="177" spans="1:60" x14ac:dyDescent="0.25">
      <c r="A177" s="42"/>
      <c r="B177" s="42"/>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row>
    <row r="178" spans="1:60" x14ac:dyDescent="0.25">
      <c r="A178" s="42"/>
      <c r="B178" s="42"/>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row>
    <row r="179" spans="1:60" x14ac:dyDescent="0.25">
      <c r="A179" s="42"/>
      <c r="B179" s="42"/>
      <c r="C179" s="42"/>
      <c r="D179" s="42"/>
      <c r="E179" s="42"/>
      <c r="F179" s="42"/>
      <c r="G179" s="42"/>
      <c r="H179" s="42"/>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row>
    <row r="180" spans="1:60" x14ac:dyDescent="0.25">
      <c r="A180" s="42"/>
      <c r="B180" s="42"/>
      <c r="C180" s="42"/>
      <c r="D180" s="42"/>
      <c r="E180" s="42"/>
      <c r="F180" s="42"/>
      <c r="G180" s="42"/>
      <c r="H180" s="42"/>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row>
    <row r="181" spans="1:60" x14ac:dyDescent="0.25">
      <c r="A181" s="42"/>
      <c r="B181" s="42"/>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row>
    <row r="182" spans="1:60" x14ac:dyDescent="0.25">
      <c r="A182" s="42"/>
      <c r="B182" s="42"/>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row>
    <row r="183" spans="1:60" x14ac:dyDescent="0.25">
      <c r="A183" s="42"/>
      <c r="B183" s="42"/>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row>
    <row r="184" spans="1:60" x14ac:dyDescent="0.25">
      <c r="A184" s="42"/>
      <c r="B184" s="42"/>
      <c r="C184" s="42"/>
      <c r="D184" s="42"/>
      <c r="E184" s="42"/>
      <c r="F184" s="42"/>
      <c r="G184" s="42"/>
      <c r="H184" s="42"/>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row>
    <row r="185" spans="1:60" x14ac:dyDescent="0.25">
      <c r="A185" s="42"/>
      <c r="B185" s="42"/>
      <c r="C185" s="42"/>
      <c r="D185" s="42"/>
      <c r="E185" s="42"/>
      <c r="F185" s="42"/>
      <c r="G185" s="42"/>
      <c r="H185" s="42"/>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row>
    <row r="186" spans="1:60" x14ac:dyDescent="0.25">
      <c r="A186" s="42"/>
      <c r="B186" s="42"/>
      <c r="C186" s="42"/>
      <c r="D186" s="42"/>
      <c r="E186" s="42"/>
      <c r="F186" s="42"/>
      <c r="G186" s="42"/>
      <c r="H186" s="42"/>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row>
    <row r="187" spans="1:60" x14ac:dyDescent="0.25">
      <c r="A187" s="42"/>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row>
    <row r="188" spans="1:60" x14ac:dyDescent="0.25">
      <c r="A188" s="42"/>
      <c r="B188" s="42"/>
      <c r="C188" s="42"/>
      <c r="D188" s="42"/>
      <c r="E188" s="42"/>
      <c r="F188" s="42"/>
      <c r="G188" s="42"/>
      <c r="H188" s="42"/>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c r="AN188" s="42"/>
      <c r="AO188" s="42"/>
      <c r="AP188" s="42"/>
      <c r="AQ188" s="42"/>
      <c r="AR188" s="42"/>
      <c r="AS188" s="42"/>
      <c r="AT188" s="42"/>
      <c r="AU188" s="42"/>
      <c r="AV188" s="42"/>
      <c r="AW188" s="42"/>
      <c r="AX188" s="42"/>
      <c r="AY188" s="42"/>
      <c r="AZ188" s="42"/>
      <c r="BA188" s="42"/>
      <c r="BB188" s="42"/>
      <c r="BC188" s="42"/>
      <c r="BD188" s="42"/>
      <c r="BE188" s="42"/>
      <c r="BF188" s="42"/>
      <c r="BG188" s="42"/>
      <c r="BH188" s="42"/>
    </row>
    <row r="189" spans="1:60" x14ac:dyDescent="0.25">
      <c r="A189" s="42"/>
      <c r="B189" s="42"/>
      <c r="C189" s="42"/>
      <c r="D189" s="42"/>
      <c r="E189" s="42"/>
      <c r="F189" s="42"/>
      <c r="G189" s="42"/>
      <c r="H189" s="42"/>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row>
    <row r="190" spans="1:60" x14ac:dyDescent="0.25">
      <c r="A190" s="42"/>
      <c r="B190" s="42"/>
      <c r="C190" s="42"/>
      <c r="D190" s="42"/>
      <c r="E190" s="42"/>
      <c r="F190" s="42"/>
      <c r="G190" s="42"/>
      <c r="H190" s="42"/>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row>
    <row r="191" spans="1:60" x14ac:dyDescent="0.25">
      <c r="A191" s="42"/>
      <c r="J191" s="42"/>
      <c r="K191" s="42"/>
      <c r="L191" s="42"/>
      <c r="M191" s="42"/>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row>
    <row r="192" spans="1:60" x14ac:dyDescent="0.25">
      <c r="A192" s="42"/>
      <c r="J192" s="42"/>
      <c r="K192" s="42"/>
      <c r="L192" s="42"/>
      <c r="M192" s="42"/>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row>
    <row r="193" spans="1:60" x14ac:dyDescent="0.25">
      <c r="A193" s="42"/>
      <c r="J193" s="42"/>
      <c r="K193" s="42"/>
      <c r="L193" s="42"/>
      <c r="M193" s="42"/>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row>
    <row r="194" spans="1:60" x14ac:dyDescent="0.25">
      <c r="A194" s="42"/>
      <c r="J194" s="42"/>
      <c r="K194" s="42"/>
      <c r="L194" s="42"/>
      <c r="M194" s="42"/>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row>
    <row r="195" spans="1:60" x14ac:dyDescent="0.25">
      <c r="A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row>
    <row r="196" spans="1:60" x14ac:dyDescent="0.25">
      <c r="A196" s="42"/>
      <c r="J196" s="42"/>
      <c r="K196" s="42"/>
      <c r="L196" s="42"/>
      <c r="M196" s="42"/>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c r="AN196" s="42"/>
      <c r="AO196" s="42"/>
      <c r="AP196" s="42"/>
      <c r="AQ196" s="42"/>
      <c r="AR196" s="42"/>
      <c r="AS196" s="42"/>
      <c r="AT196" s="42"/>
      <c r="AU196" s="42"/>
      <c r="AV196" s="42"/>
      <c r="AW196" s="42"/>
      <c r="AX196" s="42"/>
      <c r="AY196" s="42"/>
      <c r="AZ196" s="42"/>
      <c r="BA196" s="42"/>
      <c r="BB196" s="42"/>
      <c r="BC196" s="42"/>
      <c r="BD196" s="42"/>
      <c r="BE196" s="42"/>
      <c r="BF196" s="42"/>
      <c r="BG196" s="42"/>
      <c r="BH196" s="42"/>
    </row>
    <row r="197" spans="1:60" x14ac:dyDescent="0.25">
      <c r="A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c r="AN197" s="42"/>
      <c r="AO197" s="42"/>
      <c r="AP197" s="42"/>
      <c r="AQ197" s="42"/>
      <c r="AR197" s="42"/>
      <c r="AS197" s="42"/>
      <c r="AT197" s="42"/>
      <c r="AU197" s="42"/>
      <c r="AV197" s="42"/>
      <c r="AW197" s="42"/>
      <c r="AX197" s="42"/>
      <c r="AY197" s="42"/>
      <c r="AZ197" s="42"/>
      <c r="BA197" s="42"/>
      <c r="BB197" s="42"/>
      <c r="BC197" s="42"/>
      <c r="BD197" s="42"/>
      <c r="BE197" s="42"/>
      <c r="BF197" s="42"/>
      <c r="BG197" s="42"/>
      <c r="BH197" s="42"/>
    </row>
    <row r="198" spans="1:60" x14ac:dyDescent="0.25">
      <c r="A198" s="42"/>
      <c r="J198" s="42"/>
      <c r="K198" s="42"/>
      <c r="L198" s="42"/>
      <c r="M198" s="42"/>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c r="AN198" s="42"/>
      <c r="AO198" s="42"/>
      <c r="AP198" s="42"/>
      <c r="AQ198" s="42"/>
      <c r="AR198" s="42"/>
      <c r="AS198" s="42"/>
      <c r="AT198" s="42"/>
      <c r="AU198" s="42"/>
      <c r="AV198" s="42"/>
      <c r="AW198" s="42"/>
      <c r="AX198" s="42"/>
      <c r="AY198" s="42"/>
      <c r="AZ198" s="42"/>
      <c r="BA198" s="42"/>
      <c r="BB198" s="42"/>
      <c r="BC198" s="42"/>
      <c r="BD198" s="42"/>
      <c r="BE198" s="42"/>
      <c r="BF198" s="42"/>
      <c r="BG198" s="42"/>
      <c r="BH198" s="42"/>
    </row>
    <row r="199" spans="1:60" x14ac:dyDescent="0.25">
      <c r="A199" s="42"/>
      <c r="J199" s="42"/>
      <c r="K199" s="42"/>
      <c r="L199" s="42"/>
      <c r="M199" s="42"/>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c r="AN199" s="42"/>
      <c r="AO199" s="42"/>
      <c r="AP199" s="42"/>
      <c r="AQ199" s="42"/>
      <c r="AR199" s="42"/>
      <c r="AS199" s="42"/>
      <c r="AT199" s="42"/>
      <c r="AU199" s="42"/>
      <c r="AV199" s="42"/>
      <c r="AW199" s="42"/>
      <c r="AX199" s="42"/>
      <c r="AY199" s="42"/>
      <c r="AZ199" s="42"/>
      <c r="BA199" s="42"/>
      <c r="BB199" s="42"/>
      <c r="BC199" s="42"/>
      <c r="BD199" s="42"/>
      <c r="BE199" s="42"/>
      <c r="BF199" s="42"/>
      <c r="BG199" s="42"/>
      <c r="BH199" s="42"/>
    </row>
    <row r="200" spans="1:60" x14ac:dyDescent="0.25">
      <c r="A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c r="AN200" s="42"/>
      <c r="AO200" s="42"/>
      <c r="AP200" s="42"/>
      <c r="AQ200" s="42"/>
      <c r="AR200" s="42"/>
      <c r="AS200" s="42"/>
      <c r="AT200" s="42"/>
      <c r="AU200" s="42"/>
      <c r="AV200" s="42"/>
      <c r="AW200" s="42"/>
      <c r="AX200" s="42"/>
      <c r="AY200" s="42"/>
      <c r="AZ200" s="42"/>
      <c r="BA200" s="42"/>
      <c r="BB200" s="42"/>
      <c r="BC200" s="42"/>
      <c r="BD200" s="42"/>
      <c r="BE200" s="42"/>
      <c r="BF200" s="42"/>
      <c r="BG200" s="42"/>
      <c r="BH200" s="42"/>
    </row>
    <row r="201" spans="1:60" x14ac:dyDescent="0.25">
      <c r="A201" s="42"/>
      <c r="J201" s="42"/>
      <c r="K201" s="42"/>
      <c r="L201" s="42"/>
      <c r="M201" s="42"/>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row>
    <row r="202" spans="1:60" x14ac:dyDescent="0.25">
      <c r="A202" s="42"/>
      <c r="J202" s="42"/>
      <c r="K202" s="42"/>
      <c r="L202" s="42"/>
      <c r="M202" s="42"/>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row>
    <row r="203" spans="1:60" x14ac:dyDescent="0.25">
      <c r="A203" s="42"/>
      <c r="J203" s="42"/>
      <c r="K203" s="42"/>
      <c r="L203" s="42"/>
      <c r="M203" s="42"/>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row>
    <row r="204" spans="1:60" x14ac:dyDescent="0.25">
      <c r="A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row>
    <row r="205" spans="1:60" x14ac:dyDescent="0.25">
      <c r="A205" s="42"/>
      <c r="J205" s="42"/>
      <c r="K205" s="42"/>
      <c r="L205" s="42"/>
      <c r="M205" s="42"/>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row>
    <row r="206" spans="1:60" x14ac:dyDescent="0.25">
      <c r="A206" s="42"/>
      <c r="J206" s="42"/>
      <c r="K206" s="42"/>
      <c r="L206" s="42"/>
      <c r="M206" s="42"/>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row>
    <row r="207" spans="1:60" x14ac:dyDescent="0.25">
      <c r="A207" s="42"/>
      <c r="J207" s="42"/>
      <c r="K207" s="42"/>
      <c r="L207" s="42"/>
      <c r="M207" s="42"/>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row>
    <row r="208" spans="1:60" x14ac:dyDescent="0.25">
      <c r="A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row>
    <row r="209" spans="1:60" x14ac:dyDescent="0.25">
      <c r="A209" s="42"/>
      <c r="J209" s="42"/>
      <c r="K209" s="42"/>
      <c r="L209" s="42"/>
      <c r="M209" s="42"/>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row>
    <row r="210" spans="1:60" x14ac:dyDescent="0.25">
      <c r="A210" s="42"/>
      <c r="J210" s="42"/>
      <c r="K210" s="42"/>
      <c r="L210" s="42"/>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row>
    <row r="211" spans="1:60" x14ac:dyDescent="0.25">
      <c r="A211" s="42"/>
      <c r="J211" s="42"/>
      <c r="K211" s="42"/>
      <c r="L211" s="42"/>
      <c r="M211" s="4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row>
    <row r="212" spans="1:60" x14ac:dyDescent="0.25">
      <c r="A212" s="42"/>
      <c r="J212" s="42"/>
      <c r="K212" s="42"/>
      <c r="L212" s="42"/>
      <c r="M212" s="4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row>
    <row r="213" spans="1:60" x14ac:dyDescent="0.25">
      <c r="A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row>
    <row r="214" spans="1:60" x14ac:dyDescent="0.25">
      <c r="A214" s="42"/>
      <c r="J214" s="42"/>
      <c r="K214" s="42"/>
      <c r="L214" s="42"/>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row>
    <row r="215" spans="1:60" x14ac:dyDescent="0.25">
      <c r="A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row>
    <row r="216" spans="1:60" x14ac:dyDescent="0.25">
      <c r="A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row>
    <row r="217" spans="1:60" x14ac:dyDescent="0.25">
      <c r="A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row>
    <row r="218" spans="1:60" x14ac:dyDescent="0.25">
      <c r="A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row>
    <row r="219" spans="1:60" x14ac:dyDescent="0.25">
      <c r="A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row>
    <row r="220" spans="1:60" x14ac:dyDescent="0.25">
      <c r="A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row>
    <row r="221" spans="1:60" x14ac:dyDescent="0.25">
      <c r="A221" s="42"/>
      <c r="J221" s="42"/>
      <c r="K221" s="42"/>
      <c r="L221" s="42"/>
      <c r="M221" s="4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row>
    <row r="222" spans="1:60" x14ac:dyDescent="0.25">
      <c r="A222" s="42"/>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row>
    <row r="223" spans="1:60" x14ac:dyDescent="0.25">
      <c r="A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row>
    <row r="224" spans="1:60" x14ac:dyDescent="0.25">
      <c r="A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row>
    <row r="225" spans="1:60" x14ac:dyDescent="0.25">
      <c r="A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row>
    <row r="226" spans="1:60" x14ac:dyDescent="0.25">
      <c r="A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row>
    <row r="227" spans="1:60" x14ac:dyDescent="0.25">
      <c r="A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row>
    <row r="228" spans="1:60" x14ac:dyDescent="0.25">
      <c r="A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row>
    <row r="229" spans="1:60" x14ac:dyDescent="0.25">
      <c r="A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row>
    <row r="230" spans="1:60" x14ac:dyDescent="0.25">
      <c r="A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row>
    <row r="231" spans="1:60" x14ac:dyDescent="0.25">
      <c r="A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row>
    <row r="232" spans="1:60" x14ac:dyDescent="0.25">
      <c r="A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row>
    <row r="233" spans="1:60" x14ac:dyDescent="0.25">
      <c r="A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row>
    <row r="234" spans="1:60" x14ac:dyDescent="0.25">
      <c r="A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row>
    <row r="235" spans="1:60" x14ac:dyDescent="0.25">
      <c r="A235" s="42"/>
      <c r="J235" s="42"/>
      <c r="K235" s="42"/>
      <c r="L235" s="42"/>
      <c r="M235" s="4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row>
    <row r="236" spans="1:60" x14ac:dyDescent="0.25">
      <c r="A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row>
    <row r="237" spans="1:60" x14ac:dyDescent="0.25">
      <c r="A237" s="42"/>
      <c r="J237" s="42"/>
      <c r="K237" s="42"/>
      <c r="L237" s="42"/>
      <c r="M237" s="4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row>
    <row r="238" spans="1:60" x14ac:dyDescent="0.25">
      <c r="A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row>
    <row r="239" spans="1:60" x14ac:dyDescent="0.25">
      <c r="A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row>
    <row r="240" spans="1:60" x14ac:dyDescent="0.25">
      <c r="A240" s="42"/>
      <c r="J240" s="42"/>
      <c r="K240" s="42"/>
      <c r="L240" s="42"/>
      <c r="M240" s="4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row>
    <row r="241" spans="1:60" x14ac:dyDescent="0.25">
      <c r="A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row>
    <row r="242" spans="1:60" x14ac:dyDescent="0.25">
      <c r="A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row>
    <row r="243" spans="1:60" x14ac:dyDescent="0.25">
      <c r="A243" s="42"/>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row>
    <row r="244" spans="1:60" x14ac:dyDescent="0.25">
      <c r="A244" s="42"/>
      <c r="J244" s="42"/>
      <c r="K244" s="42"/>
      <c r="L244" s="42"/>
      <c r="M244" s="4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row>
    <row r="245" spans="1:60" x14ac:dyDescent="0.25">
      <c r="A245" s="42"/>
    </row>
    <row r="246" spans="1:60" x14ac:dyDescent="0.25">
      <c r="A246" s="42"/>
    </row>
    <row r="247" spans="1:60" x14ac:dyDescent="0.25">
      <c r="A247" s="42"/>
    </row>
    <row r="248" spans="1:60" x14ac:dyDescent="0.25">
      <c r="A248" s="4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D5" sqref="D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42"/>
      <c r="B1" s="582" t="s">
        <v>53</v>
      </c>
      <c r="C1" s="582"/>
      <c r="D1" s="582"/>
      <c r="E1" s="42"/>
      <c r="F1" s="42"/>
      <c r="G1" s="42"/>
      <c r="H1" s="42"/>
      <c r="I1" s="42"/>
      <c r="J1" s="42"/>
      <c r="K1" s="42"/>
      <c r="L1" s="42"/>
      <c r="M1" s="42"/>
      <c r="N1" s="42"/>
      <c r="O1" s="42"/>
      <c r="P1" s="42"/>
      <c r="Q1" s="42"/>
      <c r="R1" s="42"/>
      <c r="S1" s="42"/>
      <c r="T1" s="42"/>
      <c r="U1" s="42"/>
      <c r="V1" s="42"/>
      <c r="W1" s="42"/>
      <c r="X1" s="42"/>
      <c r="Y1" s="42"/>
      <c r="Z1" s="42"/>
      <c r="AA1" s="42"/>
      <c r="AB1" s="42"/>
      <c r="AC1" s="42"/>
      <c r="AD1" s="42"/>
      <c r="AE1" s="42"/>
    </row>
    <row r="2" spans="1:37" x14ac:dyDescent="0.2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row>
    <row r="3" spans="1:37" ht="25.5" x14ac:dyDescent="0.25">
      <c r="A3" s="42"/>
      <c r="B3" s="9"/>
      <c r="C3" s="10" t="s">
        <v>50</v>
      </c>
      <c r="D3" s="10" t="s">
        <v>4</v>
      </c>
      <c r="E3" s="42"/>
      <c r="F3" s="42"/>
      <c r="G3" s="42"/>
      <c r="H3" s="42"/>
      <c r="I3" s="42"/>
      <c r="J3" s="42"/>
      <c r="K3" s="42"/>
      <c r="L3" s="42"/>
      <c r="M3" s="42"/>
      <c r="N3" s="42"/>
      <c r="O3" s="42"/>
      <c r="P3" s="42"/>
      <c r="Q3" s="42"/>
      <c r="R3" s="42"/>
      <c r="S3" s="42"/>
      <c r="T3" s="42"/>
      <c r="U3" s="42"/>
      <c r="V3" s="42"/>
      <c r="W3" s="42"/>
      <c r="X3" s="42"/>
      <c r="Y3" s="42"/>
      <c r="Z3" s="42"/>
      <c r="AA3" s="42"/>
      <c r="AB3" s="42"/>
      <c r="AC3" s="42"/>
      <c r="AD3" s="42"/>
      <c r="AE3" s="42"/>
    </row>
    <row r="4" spans="1:37" ht="51" x14ac:dyDescent="0.25">
      <c r="A4" s="42"/>
      <c r="B4" s="11" t="s">
        <v>49</v>
      </c>
      <c r="C4" s="12" t="s">
        <v>100</v>
      </c>
      <c r="D4" s="13">
        <v>0.2</v>
      </c>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1:37" ht="51" x14ac:dyDescent="0.25">
      <c r="A5" s="42"/>
      <c r="B5" s="14" t="s">
        <v>51</v>
      </c>
      <c r="C5" s="15" t="s">
        <v>101</v>
      </c>
      <c r="D5" s="16">
        <v>0.4</v>
      </c>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7" ht="51" x14ac:dyDescent="0.25">
      <c r="A6" s="42"/>
      <c r="B6" s="17" t="s">
        <v>105</v>
      </c>
      <c r="C6" s="15" t="s">
        <v>102</v>
      </c>
      <c r="D6" s="16">
        <v>0.6</v>
      </c>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7" ht="76.5" x14ac:dyDescent="0.25">
      <c r="A7" s="42"/>
      <c r="B7" s="18" t="s">
        <v>6</v>
      </c>
      <c r="C7" s="15" t="s">
        <v>103</v>
      </c>
      <c r="D7" s="16">
        <v>0.8</v>
      </c>
      <c r="E7" s="42"/>
      <c r="F7" s="42"/>
      <c r="G7" s="42"/>
      <c r="H7" s="42"/>
      <c r="I7" s="42"/>
      <c r="J7" s="42"/>
      <c r="K7" s="42"/>
      <c r="L7" s="42"/>
      <c r="M7" s="42"/>
      <c r="N7" s="42"/>
      <c r="O7" s="42"/>
      <c r="P7" s="42"/>
      <c r="Q7" s="42"/>
      <c r="R7" s="42"/>
      <c r="S7" s="42"/>
      <c r="T7" s="42"/>
      <c r="U7" s="42"/>
      <c r="V7" s="42"/>
      <c r="W7" s="42"/>
      <c r="X7" s="42"/>
      <c r="Y7" s="42"/>
      <c r="Z7" s="42"/>
      <c r="AA7" s="42"/>
      <c r="AB7" s="42"/>
      <c r="AC7" s="42"/>
      <c r="AD7" s="42"/>
      <c r="AE7" s="42"/>
    </row>
    <row r="8" spans="1:37" ht="51" x14ac:dyDescent="0.25">
      <c r="A8" s="42"/>
      <c r="B8" s="19" t="s">
        <v>52</v>
      </c>
      <c r="C8" s="15" t="s">
        <v>104</v>
      </c>
      <c r="D8" s="16">
        <v>1</v>
      </c>
      <c r="E8" s="42"/>
      <c r="F8" s="42"/>
      <c r="G8" s="42"/>
      <c r="H8" s="42"/>
      <c r="I8" s="42"/>
      <c r="J8" s="42"/>
      <c r="K8" s="42"/>
      <c r="L8" s="42"/>
      <c r="M8" s="42"/>
      <c r="N8" s="42"/>
      <c r="O8" s="42"/>
      <c r="P8" s="42"/>
      <c r="Q8" s="42"/>
      <c r="R8" s="42"/>
      <c r="S8" s="42"/>
      <c r="T8" s="42"/>
      <c r="U8" s="42"/>
      <c r="V8" s="42"/>
      <c r="W8" s="42"/>
      <c r="X8" s="42"/>
      <c r="Y8" s="42"/>
      <c r="Z8" s="42"/>
      <c r="AA8" s="42"/>
      <c r="AB8" s="42"/>
      <c r="AC8" s="42"/>
      <c r="AD8" s="42"/>
      <c r="AE8" s="42"/>
    </row>
    <row r="9" spans="1:37" x14ac:dyDescent="0.25">
      <c r="A9" s="42"/>
      <c r="B9" s="66"/>
      <c r="C9" s="66"/>
      <c r="D9" s="66"/>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row>
    <row r="10" spans="1:37" ht="16.5" x14ac:dyDescent="0.25">
      <c r="A10" s="42"/>
      <c r="B10" s="67"/>
      <c r="C10" s="66"/>
      <c r="D10" s="66"/>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row>
    <row r="11" spans="1:37" x14ac:dyDescent="0.25">
      <c r="A11" s="42"/>
      <c r="B11" s="66"/>
      <c r="C11" s="66"/>
      <c r="D11" s="66"/>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row>
    <row r="12" spans="1:37" x14ac:dyDescent="0.25">
      <c r="A12" s="42"/>
      <c r="B12" s="66"/>
      <c r="C12" s="66"/>
      <c r="D12" s="66"/>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row>
    <row r="13" spans="1:37" x14ac:dyDescent="0.25">
      <c r="A13" s="42"/>
      <c r="B13" s="66"/>
      <c r="C13" s="66"/>
      <c r="D13" s="66"/>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row>
    <row r="14" spans="1:37" x14ac:dyDescent="0.25">
      <c r="A14" s="42"/>
      <c r="B14" s="66"/>
      <c r="C14" s="66"/>
      <c r="D14" s="66"/>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row>
    <row r="15" spans="1:37" x14ac:dyDescent="0.25">
      <c r="A15" s="42"/>
      <c r="B15" s="66"/>
      <c r="C15" s="66"/>
      <c r="D15" s="66"/>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row>
    <row r="16" spans="1:37" x14ac:dyDescent="0.25">
      <c r="A16" s="42"/>
      <c r="B16" s="66"/>
      <c r="C16" s="66"/>
      <c r="D16" s="66"/>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row>
    <row r="17" spans="1:37" x14ac:dyDescent="0.25">
      <c r="A17" s="42"/>
      <c r="B17" s="66"/>
      <c r="C17" s="66"/>
      <c r="D17" s="66"/>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row>
    <row r="18" spans="1:37" x14ac:dyDescent="0.25">
      <c r="A18" s="42"/>
      <c r="B18" s="66"/>
      <c r="C18" s="66"/>
      <c r="D18" s="66"/>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row>
    <row r="19" spans="1:37" x14ac:dyDescent="0.2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row>
    <row r="20" spans="1:37" x14ac:dyDescent="0.25">
      <c r="A20" s="42"/>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row>
    <row r="21" spans="1:37" x14ac:dyDescent="0.2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row>
    <row r="22" spans="1:37" x14ac:dyDescent="0.2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row>
    <row r="23" spans="1:37" x14ac:dyDescent="0.25">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row>
    <row r="24" spans="1:37" x14ac:dyDescent="0.25">
      <c r="A24" s="42"/>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row>
    <row r="25" spans="1:37" x14ac:dyDescent="0.25">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row>
    <row r="26" spans="1:37" x14ac:dyDescent="0.2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row>
    <row r="27" spans="1:37" x14ac:dyDescent="0.2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row>
    <row r="28" spans="1:37" x14ac:dyDescent="0.2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row>
    <row r="29" spans="1:37" x14ac:dyDescent="0.2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row>
    <row r="30" spans="1:37" x14ac:dyDescent="0.2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row>
    <row r="31" spans="1:37" x14ac:dyDescent="0.2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row r="32" spans="1:37" x14ac:dyDescent="0.2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row>
    <row r="33" spans="1:31" x14ac:dyDescent="0.25">
      <c r="A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x14ac:dyDescent="0.25">
      <c r="A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row>
    <row r="35" spans="1:31" x14ac:dyDescent="0.25">
      <c r="A35" s="42"/>
    </row>
    <row r="36" spans="1:31" x14ac:dyDescent="0.25">
      <c r="A36" s="42"/>
    </row>
    <row r="37" spans="1:31" x14ac:dyDescent="0.25">
      <c r="A37" s="42"/>
    </row>
    <row r="38" spans="1:31" x14ac:dyDescent="0.25">
      <c r="A38" s="42"/>
    </row>
    <row r="39" spans="1:31" x14ac:dyDescent="0.25">
      <c r="A39" s="42"/>
    </row>
    <row r="40" spans="1:31" x14ac:dyDescent="0.25">
      <c r="A40" s="42"/>
    </row>
    <row r="41" spans="1:31" x14ac:dyDescent="0.25">
      <c r="A41" s="42"/>
    </row>
    <row r="42" spans="1:31" x14ac:dyDescent="0.25">
      <c r="A42" s="42"/>
    </row>
    <row r="43" spans="1:31" x14ac:dyDescent="0.25">
      <c r="A43" s="42"/>
    </row>
    <row r="44" spans="1:31" x14ac:dyDescent="0.25">
      <c r="A44" s="42"/>
    </row>
    <row r="45" spans="1:31" x14ac:dyDescent="0.25">
      <c r="A45" s="42"/>
    </row>
    <row r="46" spans="1:31" x14ac:dyDescent="0.25">
      <c r="A46" s="42"/>
    </row>
    <row r="47" spans="1:31" x14ac:dyDescent="0.25">
      <c r="A47" s="42"/>
    </row>
    <row r="48" spans="1:31" x14ac:dyDescent="0.25">
      <c r="A48" s="42"/>
    </row>
    <row r="49" spans="1:1" x14ac:dyDescent="0.25">
      <c r="A49" s="42"/>
    </row>
    <row r="50" spans="1:1" x14ac:dyDescent="0.25">
      <c r="A50" s="42"/>
    </row>
    <row r="51" spans="1:1" x14ac:dyDescent="0.25">
      <c r="A51" s="42"/>
    </row>
    <row r="52" spans="1:1" x14ac:dyDescent="0.25">
      <c r="A52" s="42"/>
    </row>
    <row r="53" spans="1:1" x14ac:dyDescent="0.25">
      <c r="A53" s="42"/>
    </row>
    <row r="54" spans="1:1" x14ac:dyDescent="0.25">
      <c r="A54" s="42"/>
    </row>
    <row r="55" spans="1:1" x14ac:dyDescent="0.25">
      <c r="A55" s="4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E6" sqref="E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42"/>
      <c r="B1" s="583" t="s">
        <v>61</v>
      </c>
      <c r="C1" s="583"/>
      <c r="D1" s="583"/>
      <c r="E1" s="42"/>
      <c r="F1" s="42"/>
      <c r="G1" s="42"/>
      <c r="H1" s="42"/>
      <c r="I1" s="42"/>
      <c r="J1" s="42"/>
      <c r="K1" s="42"/>
      <c r="L1" s="42"/>
      <c r="M1" s="42"/>
      <c r="N1" s="42"/>
      <c r="O1" s="42"/>
      <c r="P1" s="42"/>
      <c r="Q1" s="42"/>
      <c r="R1" s="42"/>
      <c r="S1" s="42"/>
      <c r="T1" s="42"/>
      <c r="U1" s="42"/>
    </row>
    <row r="2" spans="1:21" x14ac:dyDescent="0.25">
      <c r="A2" s="42"/>
      <c r="B2" s="42"/>
      <c r="C2" s="42"/>
      <c r="D2" s="42"/>
      <c r="E2" s="42"/>
      <c r="F2" s="42"/>
      <c r="G2" s="42"/>
      <c r="H2" s="42"/>
      <c r="I2" s="42"/>
      <c r="J2" s="42"/>
      <c r="K2" s="42"/>
      <c r="L2" s="42"/>
      <c r="M2" s="42"/>
      <c r="N2" s="42"/>
      <c r="O2" s="42"/>
      <c r="P2" s="42"/>
      <c r="Q2" s="42"/>
      <c r="R2" s="42"/>
      <c r="S2" s="42"/>
      <c r="T2" s="42"/>
      <c r="U2" s="42"/>
    </row>
    <row r="3" spans="1:21" ht="30" x14ac:dyDescent="0.25">
      <c r="A3" s="42"/>
      <c r="B3" s="63"/>
      <c r="C3" s="32" t="s">
        <v>54</v>
      </c>
      <c r="D3" s="32" t="s">
        <v>55</v>
      </c>
      <c r="E3" s="42"/>
      <c r="F3" s="42"/>
      <c r="G3" s="42"/>
      <c r="H3" s="42"/>
      <c r="I3" s="42"/>
      <c r="J3" s="42"/>
      <c r="K3" s="42"/>
      <c r="L3" s="42"/>
      <c r="M3" s="42"/>
      <c r="N3" s="42"/>
      <c r="O3" s="42"/>
      <c r="P3" s="42"/>
      <c r="Q3" s="42"/>
      <c r="R3" s="42"/>
      <c r="S3" s="42"/>
      <c r="T3" s="42"/>
      <c r="U3" s="42"/>
    </row>
    <row r="4" spans="1:21" ht="33.75" x14ac:dyDescent="0.25">
      <c r="A4" s="62" t="s">
        <v>81</v>
      </c>
      <c r="B4" s="35" t="s">
        <v>99</v>
      </c>
      <c r="C4" s="40" t="s">
        <v>153</v>
      </c>
      <c r="D4" s="33" t="s">
        <v>95</v>
      </c>
      <c r="E4" s="42"/>
      <c r="F4" s="42"/>
      <c r="G4" s="42"/>
      <c r="H4" s="42"/>
      <c r="I4" s="42"/>
      <c r="J4" s="42"/>
      <c r="K4" s="42"/>
      <c r="L4" s="42"/>
      <c r="M4" s="42"/>
      <c r="N4" s="42"/>
      <c r="O4" s="42"/>
      <c r="P4" s="42"/>
      <c r="Q4" s="42"/>
      <c r="R4" s="42"/>
      <c r="S4" s="42"/>
      <c r="T4" s="42"/>
      <c r="U4" s="42"/>
    </row>
    <row r="5" spans="1:21" ht="67.5" x14ac:dyDescent="0.25">
      <c r="A5" s="62" t="s">
        <v>82</v>
      </c>
      <c r="B5" s="36" t="s">
        <v>57</v>
      </c>
      <c r="C5" s="41" t="s">
        <v>91</v>
      </c>
      <c r="D5" s="34" t="s">
        <v>96</v>
      </c>
      <c r="E5" s="42"/>
      <c r="F5" s="42"/>
      <c r="G5" s="42"/>
      <c r="H5" s="42"/>
      <c r="I5" s="42"/>
      <c r="J5" s="42"/>
      <c r="K5" s="42"/>
      <c r="L5" s="42"/>
      <c r="M5" s="42"/>
      <c r="N5" s="42"/>
      <c r="O5" s="42"/>
      <c r="P5" s="42"/>
      <c r="Q5" s="42"/>
      <c r="R5" s="42"/>
      <c r="S5" s="42"/>
      <c r="T5" s="42"/>
      <c r="U5" s="42"/>
    </row>
    <row r="6" spans="1:21" ht="67.5" x14ac:dyDescent="0.25">
      <c r="A6" s="62" t="s">
        <v>79</v>
      </c>
      <c r="B6" s="37" t="s">
        <v>58</v>
      </c>
      <c r="C6" s="41" t="s">
        <v>92</v>
      </c>
      <c r="D6" s="34" t="s">
        <v>98</v>
      </c>
      <c r="E6" s="42"/>
      <c r="F6" s="42"/>
      <c r="G6" s="42"/>
      <c r="H6" s="42"/>
      <c r="I6" s="42"/>
      <c r="J6" s="42"/>
      <c r="K6" s="42"/>
      <c r="L6" s="42"/>
      <c r="M6" s="42"/>
      <c r="N6" s="42"/>
      <c r="O6" s="42"/>
      <c r="P6" s="42"/>
      <c r="Q6" s="42"/>
      <c r="R6" s="42"/>
      <c r="S6" s="42"/>
      <c r="T6" s="42"/>
      <c r="U6" s="42"/>
    </row>
    <row r="7" spans="1:21" ht="101.25" x14ac:dyDescent="0.25">
      <c r="A7" s="62" t="s">
        <v>7</v>
      </c>
      <c r="B7" s="38" t="s">
        <v>59</v>
      </c>
      <c r="C7" s="41" t="s">
        <v>93</v>
      </c>
      <c r="D7" s="34" t="s">
        <v>97</v>
      </c>
      <c r="E7" s="42"/>
      <c r="F7" s="42"/>
      <c r="G7" s="42"/>
      <c r="H7" s="42"/>
      <c r="I7" s="42"/>
      <c r="J7" s="42"/>
      <c r="K7" s="42"/>
      <c r="L7" s="42"/>
      <c r="M7" s="42"/>
      <c r="N7" s="42"/>
      <c r="O7" s="42"/>
      <c r="P7" s="42"/>
      <c r="Q7" s="42"/>
      <c r="R7" s="42"/>
      <c r="S7" s="42"/>
      <c r="T7" s="42"/>
      <c r="U7" s="42"/>
    </row>
    <row r="8" spans="1:21" ht="67.5" x14ac:dyDescent="0.25">
      <c r="A8" s="62" t="s">
        <v>83</v>
      </c>
      <c r="B8" s="39" t="s">
        <v>60</v>
      </c>
      <c r="C8" s="41" t="s">
        <v>94</v>
      </c>
      <c r="D8" s="34" t="s">
        <v>116</v>
      </c>
      <c r="E8" s="42"/>
      <c r="F8" s="42"/>
      <c r="G8" s="42"/>
      <c r="H8" s="42"/>
      <c r="I8" s="42"/>
      <c r="J8" s="42"/>
      <c r="K8" s="42"/>
      <c r="L8" s="42"/>
      <c r="M8" s="42"/>
      <c r="N8" s="42"/>
      <c r="O8" s="42"/>
      <c r="P8" s="42"/>
      <c r="Q8" s="42"/>
      <c r="R8" s="42"/>
      <c r="S8" s="42"/>
      <c r="T8" s="42"/>
      <c r="U8" s="42"/>
    </row>
    <row r="9" spans="1:21" ht="20.25" x14ac:dyDescent="0.25">
      <c r="A9" s="62"/>
      <c r="B9" s="62"/>
      <c r="C9" s="64"/>
      <c r="D9" s="64"/>
      <c r="E9" s="42"/>
      <c r="F9" s="42"/>
      <c r="G9" s="42"/>
      <c r="H9" s="42"/>
      <c r="I9" s="42"/>
      <c r="J9" s="42"/>
      <c r="K9" s="42"/>
      <c r="L9" s="42"/>
      <c r="M9" s="42"/>
      <c r="N9" s="42"/>
      <c r="O9" s="42"/>
      <c r="P9" s="42"/>
      <c r="Q9" s="42"/>
      <c r="R9" s="42"/>
      <c r="S9" s="42"/>
      <c r="T9" s="42"/>
      <c r="U9" s="42"/>
    </row>
    <row r="10" spans="1:21" ht="16.5" x14ac:dyDescent="0.25">
      <c r="A10" s="62"/>
      <c r="B10" s="65"/>
      <c r="C10" s="65"/>
      <c r="D10" s="65"/>
      <c r="E10" s="42"/>
      <c r="F10" s="42"/>
      <c r="G10" s="42"/>
      <c r="H10" s="42"/>
      <c r="I10" s="42"/>
      <c r="J10" s="42"/>
      <c r="K10" s="42"/>
      <c r="L10" s="42"/>
      <c r="M10" s="42"/>
      <c r="N10" s="42"/>
      <c r="O10" s="42"/>
      <c r="P10" s="42"/>
      <c r="Q10" s="42"/>
      <c r="R10" s="42"/>
      <c r="S10" s="42"/>
      <c r="T10" s="42"/>
      <c r="U10" s="42"/>
    </row>
    <row r="11" spans="1:21" x14ac:dyDescent="0.25">
      <c r="A11" s="62"/>
      <c r="B11" s="62" t="s">
        <v>89</v>
      </c>
      <c r="C11" s="62" t="s">
        <v>141</v>
      </c>
      <c r="D11" s="62" t="s">
        <v>148</v>
      </c>
      <c r="E11" s="42"/>
      <c r="F11" s="42"/>
      <c r="G11" s="42"/>
      <c r="H11" s="42"/>
      <c r="I11" s="42"/>
      <c r="J11" s="42"/>
      <c r="K11" s="42"/>
      <c r="L11" s="42"/>
      <c r="M11" s="42"/>
      <c r="N11" s="42"/>
      <c r="O11" s="42"/>
      <c r="P11" s="42"/>
      <c r="Q11" s="42"/>
      <c r="R11" s="42"/>
      <c r="S11" s="42"/>
      <c r="T11" s="42"/>
      <c r="U11" s="42"/>
    </row>
    <row r="12" spans="1:21" x14ac:dyDescent="0.25">
      <c r="A12" s="62"/>
      <c r="B12" s="62" t="s">
        <v>87</v>
      </c>
      <c r="C12" s="62" t="s">
        <v>145</v>
      </c>
      <c r="D12" s="62" t="s">
        <v>149</v>
      </c>
      <c r="E12" s="42"/>
      <c r="F12" s="42"/>
      <c r="G12" s="42"/>
      <c r="H12" s="42"/>
      <c r="I12" s="42"/>
      <c r="J12" s="42"/>
      <c r="K12" s="42"/>
      <c r="L12" s="42"/>
      <c r="M12" s="42"/>
      <c r="N12" s="42"/>
      <c r="O12" s="42"/>
      <c r="P12" s="42"/>
      <c r="Q12" s="42"/>
      <c r="R12" s="42"/>
      <c r="S12" s="42"/>
      <c r="T12" s="42"/>
      <c r="U12" s="42"/>
    </row>
    <row r="13" spans="1:21" x14ac:dyDescent="0.25">
      <c r="A13" s="62"/>
      <c r="B13" s="62"/>
      <c r="C13" s="62" t="s">
        <v>144</v>
      </c>
      <c r="D13" s="62" t="s">
        <v>150</v>
      </c>
      <c r="E13" s="42"/>
      <c r="F13" s="42"/>
      <c r="G13" s="42"/>
      <c r="H13" s="42"/>
      <c r="I13" s="42"/>
      <c r="J13" s="42"/>
      <c r="K13" s="42"/>
      <c r="L13" s="42"/>
      <c r="M13" s="42"/>
      <c r="N13" s="42"/>
      <c r="O13" s="42"/>
      <c r="P13" s="42"/>
      <c r="Q13" s="42"/>
      <c r="R13" s="42"/>
      <c r="S13" s="42"/>
      <c r="T13" s="42"/>
      <c r="U13" s="42"/>
    </row>
    <row r="14" spans="1:21" x14ac:dyDescent="0.25">
      <c r="A14" s="62"/>
      <c r="B14" s="62"/>
      <c r="C14" s="62" t="s">
        <v>146</v>
      </c>
      <c r="D14" s="62" t="s">
        <v>151</v>
      </c>
      <c r="E14" s="42"/>
      <c r="F14" s="42"/>
      <c r="G14" s="42"/>
      <c r="H14" s="42"/>
      <c r="I14" s="42"/>
      <c r="J14" s="42"/>
      <c r="K14" s="42"/>
      <c r="L14" s="42"/>
      <c r="M14" s="42"/>
      <c r="N14" s="42"/>
      <c r="O14" s="42"/>
      <c r="P14" s="42"/>
      <c r="Q14" s="42"/>
      <c r="R14" s="42"/>
      <c r="S14" s="42"/>
      <c r="T14" s="42"/>
      <c r="U14" s="42"/>
    </row>
    <row r="15" spans="1:21" x14ac:dyDescent="0.25">
      <c r="A15" s="62"/>
      <c r="B15" s="62"/>
      <c r="C15" s="62" t="s">
        <v>147</v>
      </c>
      <c r="D15" s="62" t="s">
        <v>152</v>
      </c>
      <c r="E15" s="42"/>
      <c r="F15" s="42"/>
      <c r="G15" s="42"/>
      <c r="H15" s="42"/>
      <c r="I15" s="42"/>
      <c r="J15" s="42"/>
      <c r="K15" s="42"/>
      <c r="L15" s="42"/>
      <c r="M15" s="42"/>
      <c r="N15" s="42"/>
      <c r="O15" s="42"/>
      <c r="P15" s="42"/>
      <c r="Q15" s="42"/>
      <c r="R15" s="42"/>
      <c r="S15" s="42"/>
      <c r="T15" s="42"/>
      <c r="U15" s="42"/>
    </row>
    <row r="16" spans="1:21" x14ac:dyDescent="0.25">
      <c r="A16" s="62"/>
      <c r="B16" s="62"/>
      <c r="C16" s="62"/>
      <c r="D16" s="62"/>
      <c r="E16" s="42"/>
      <c r="F16" s="42"/>
      <c r="G16" s="42"/>
      <c r="H16" s="42"/>
      <c r="I16" s="42"/>
      <c r="J16" s="42"/>
      <c r="K16" s="42"/>
      <c r="L16" s="42"/>
      <c r="M16" s="42"/>
      <c r="N16" s="42"/>
      <c r="O16" s="42"/>
    </row>
    <row r="17" spans="1:15" x14ac:dyDescent="0.25">
      <c r="A17" s="62"/>
      <c r="B17" s="62"/>
      <c r="C17" s="62"/>
      <c r="D17" s="62"/>
      <c r="E17" s="42"/>
      <c r="F17" s="42"/>
      <c r="G17" s="42"/>
      <c r="H17" s="42"/>
      <c r="I17" s="42"/>
      <c r="J17" s="42"/>
      <c r="K17" s="42"/>
      <c r="L17" s="42"/>
      <c r="M17" s="42"/>
      <c r="N17" s="42"/>
      <c r="O17" s="42"/>
    </row>
    <row r="18" spans="1:15" x14ac:dyDescent="0.25">
      <c r="A18" s="62"/>
      <c r="B18" s="66"/>
      <c r="C18" s="66"/>
      <c r="D18" s="66"/>
      <c r="E18" s="42"/>
      <c r="F18" s="42"/>
      <c r="G18" s="42"/>
      <c r="H18" s="42"/>
      <c r="I18" s="42"/>
      <c r="J18" s="42"/>
      <c r="K18" s="42"/>
      <c r="L18" s="42"/>
      <c r="M18" s="42"/>
      <c r="N18" s="42"/>
      <c r="O18" s="42"/>
    </row>
    <row r="19" spans="1:15" x14ac:dyDescent="0.25">
      <c r="A19" s="62"/>
      <c r="B19" s="66"/>
      <c r="C19" s="66"/>
      <c r="D19" s="66"/>
      <c r="E19" s="42"/>
      <c r="F19" s="42"/>
      <c r="G19" s="42"/>
      <c r="H19" s="42"/>
      <c r="I19" s="42"/>
      <c r="J19" s="42"/>
      <c r="K19" s="42"/>
      <c r="L19" s="42"/>
      <c r="M19" s="42"/>
      <c r="N19" s="42"/>
      <c r="O19" s="42"/>
    </row>
    <row r="20" spans="1:15" x14ac:dyDescent="0.25">
      <c r="A20" s="62"/>
      <c r="B20" s="66"/>
      <c r="C20" s="66"/>
      <c r="D20" s="66"/>
      <c r="E20" s="42"/>
      <c r="F20" s="42"/>
      <c r="G20" s="42"/>
      <c r="H20" s="42"/>
      <c r="I20" s="42"/>
      <c r="J20" s="42"/>
      <c r="K20" s="42"/>
      <c r="L20" s="42"/>
      <c r="M20" s="42"/>
      <c r="N20" s="42"/>
      <c r="O20" s="42"/>
    </row>
    <row r="21" spans="1:15" x14ac:dyDescent="0.25">
      <c r="A21" s="62"/>
      <c r="B21" s="66"/>
      <c r="C21" s="66"/>
      <c r="D21" s="66"/>
      <c r="E21" s="42"/>
      <c r="F21" s="42"/>
      <c r="G21" s="42"/>
      <c r="H21" s="42"/>
      <c r="I21" s="42"/>
      <c r="J21" s="42"/>
      <c r="K21" s="42"/>
      <c r="L21" s="42"/>
      <c r="M21" s="42"/>
      <c r="N21" s="42"/>
      <c r="O21" s="42"/>
    </row>
    <row r="22" spans="1:15" ht="20.25" x14ac:dyDescent="0.25">
      <c r="A22" s="62"/>
      <c r="B22" s="62"/>
      <c r="C22" s="64"/>
      <c r="D22" s="64"/>
      <c r="E22" s="42"/>
      <c r="F22" s="42"/>
      <c r="G22" s="42"/>
      <c r="H22" s="42"/>
      <c r="I22" s="42"/>
      <c r="J22" s="42"/>
      <c r="K22" s="42"/>
      <c r="L22" s="42"/>
      <c r="M22" s="42"/>
      <c r="N22" s="42"/>
      <c r="O22" s="42"/>
    </row>
    <row r="23" spans="1:15" ht="20.25" x14ac:dyDescent="0.25">
      <c r="A23" s="62"/>
      <c r="B23" s="62"/>
      <c r="C23" s="64"/>
      <c r="D23" s="64"/>
      <c r="E23" s="42"/>
      <c r="F23" s="42"/>
      <c r="G23" s="42"/>
      <c r="H23" s="42"/>
      <c r="I23" s="42"/>
      <c r="J23" s="42"/>
      <c r="K23" s="42"/>
      <c r="L23" s="42"/>
      <c r="M23" s="42"/>
      <c r="N23" s="42"/>
      <c r="O23" s="42"/>
    </row>
    <row r="24" spans="1:15" ht="20.25" x14ac:dyDescent="0.25">
      <c r="A24" s="62"/>
      <c r="B24" s="62"/>
      <c r="C24" s="64"/>
      <c r="D24" s="64"/>
      <c r="E24" s="42"/>
      <c r="F24" s="42"/>
      <c r="G24" s="42"/>
      <c r="H24" s="42"/>
      <c r="I24" s="42"/>
      <c r="J24" s="42"/>
      <c r="K24" s="42"/>
      <c r="L24" s="42"/>
      <c r="M24" s="42"/>
      <c r="N24" s="42"/>
      <c r="O24" s="42"/>
    </row>
    <row r="25" spans="1:15" ht="20.25" x14ac:dyDescent="0.25">
      <c r="A25" s="62"/>
      <c r="B25" s="62"/>
      <c r="C25" s="64"/>
      <c r="D25" s="64"/>
      <c r="E25" s="42"/>
      <c r="F25" s="42"/>
      <c r="G25" s="42"/>
      <c r="H25" s="42"/>
      <c r="I25" s="42"/>
      <c r="J25" s="42"/>
      <c r="K25" s="42"/>
      <c r="L25" s="42"/>
      <c r="M25" s="42"/>
      <c r="N25" s="42"/>
      <c r="O25" s="42"/>
    </row>
    <row r="26" spans="1:15" ht="20.25" x14ac:dyDescent="0.25">
      <c r="A26" s="62"/>
      <c r="B26" s="62"/>
      <c r="C26" s="64"/>
      <c r="D26" s="64"/>
      <c r="E26" s="42"/>
      <c r="F26" s="42"/>
      <c r="G26" s="42"/>
      <c r="H26" s="42"/>
      <c r="I26" s="42"/>
      <c r="J26" s="42"/>
      <c r="K26" s="42"/>
      <c r="L26" s="42"/>
      <c r="M26" s="42"/>
      <c r="N26" s="42"/>
      <c r="O26" s="42"/>
    </row>
    <row r="27" spans="1:15" ht="20.25" x14ac:dyDescent="0.25">
      <c r="A27" s="62"/>
      <c r="B27" s="62"/>
      <c r="C27" s="64"/>
      <c r="D27" s="64"/>
      <c r="E27" s="42"/>
      <c r="F27" s="42"/>
      <c r="G27" s="42"/>
      <c r="H27" s="42"/>
      <c r="I27" s="42"/>
      <c r="J27" s="42"/>
      <c r="K27" s="42"/>
      <c r="L27" s="42"/>
      <c r="M27" s="42"/>
      <c r="N27" s="42"/>
      <c r="O27" s="42"/>
    </row>
    <row r="28" spans="1:15" ht="20.25" x14ac:dyDescent="0.25">
      <c r="A28" s="62"/>
      <c r="B28" s="62"/>
      <c r="C28" s="64"/>
      <c r="D28" s="64"/>
      <c r="E28" s="42"/>
      <c r="F28" s="42"/>
      <c r="G28" s="42"/>
      <c r="H28" s="42"/>
      <c r="I28" s="42"/>
      <c r="J28" s="42"/>
      <c r="K28" s="42"/>
      <c r="L28" s="42"/>
      <c r="M28" s="42"/>
      <c r="N28" s="42"/>
      <c r="O28" s="42"/>
    </row>
    <row r="29" spans="1:15" ht="20.25" x14ac:dyDescent="0.25">
      <c r="A29" s="62"/>
      <c r="B29" s="62"/>
      <c r="C29" s="64"/>
      <c r="D29" s="64"/>
      <c r="E29" s="42"/>
      <c r="F29" s="42"/>
      <c r="G29" s="42"/>
      <c r="H29" s="42"/>
      <c r="I29" s="42"/>
      <c r="J29" s="42"/>
      <c r="K29" s="42"/>
      <c r="L29" s="42"/>
      <c r="M29" s="42"/>
      <c r="N29" s="42"/>
      <c r="O29" s="42"/>
    </row>
    <row r="30" spans="1:15" ht="20.25" x14ac:dyDescent="0.25">
      <c r="A30" s="62"/>
      <c r="B30" s="62"/>
      <c r="C30" s="64"/>
      <c r="D30" s="64"/>
      <c r="E30" s="42"/>
      <c r="F30" s="42"/>
      <c r="G30" s="42"/>
      <c r="H30" s="42"/>
      <c r="I30" s="42"/>
      <c r="J30" s="42"/>
      <c r="K30" s="42"/>
      <c r="L30" s="42"/>
      <c r="M30" s="42"/>
      <c r="N30" s="42"/>
      <c r="O30" s="42"/>
    </row>
    <row r="31" spans="1:15" ht="20.25" x14ac:dyDescent="0.25">
      <c r="A31" s="62"/>
      <c r="B31" s="62"/>
      <c r="C31" s="64"/>
      <c r="D31" s="64"/>
      <c r="E31" s="42"/>
      <c r="F31" s="42"/>
      <c r="G31" s="42"/>
      <c r="H31" s="42"/>
      <c r="I31" s="42"/>
      <c r="J31" s="42"/>
      <c r="K31" s="42"/>
      <c r="L31" s="42"/>
      <c r="M31" s="42"/>
      <c r="N31" s="42"/>
      <c r="O31" s="42"/>
    </row>
    <row r="32" spans="1:15" ht="20.25" x14ac:dyDescent="0.25">
      <c r="A32" s="62"/>
      <c r="B32" s="62"/>
      <c r="C32" s="64"/>
      <c r="D32" s="64"/>
      <c r="E32" s="42"/>
      <c r="F32" s="42"/>
      <c r="G32" s="42"/>
      <c r="H32" s="42"/>
      <c r="I32" s="42"/>
      <c r="J32" s="42"/>
      <c r="K32" s="42"/>
      <c r="L32" s="42"/>
      <c r="M32" s="42"/>
      <c r="N32" s="42"/>
      <c r="O32" s="42"/>
    </row>
    <row r="33" spans="1:15" ht="20.25" x14ac:dyDescent="0.25">
      <c r="A33" s="62"/>
      <c r="B33" s="62"/>
      <c r="C33" s="64"/>
      <c r="D33" s="64"/>
      <c r="E33" s="42"/>
      <c r="F33" s="42"/>
      <c r="G33" s="42"/>
      <c r="H33" s="42"/>
      <c r="I33" s="42"/>
      <c r="J33" s="42"/>
      <c r="K33" s="42"/>
      <c r="L33" s="42"/>
      <c r="M33" s="42"/>
      <c r="N33" s="42"/>
      <c r="O33" s="42"/>
    </row>
    <row r="34" spans="1:15" ht="20.25" x14ac:dyDescent="0.25">
      <c r="A34" s="62"/>
      <c r="B34" s="62"/>
      <c r="C34" s="64"/>
      <c r="D34" s="64"/>
      <c r="E34" s="42"/>
      <c r="F34" s="42"/>
      <c r="G34" s="42"/>
      <c r="H34" s="42"/>
      <c r="I34" s="42"/>
      <c r="J34" s="42"/>
      <c r="K34" s="42"/>
      <c r="L34" s="42"/>
      <c r="M34" s="42"/>
      <c r="N34" s="42"/>
      <c r="O34" s="42"/>
    </row>
    <row r="35" spans="1:15" ht="20.25" x14ac:dyDescent="0.25">
      <c r="A35" s="62"/>
      <c r="B35" s="62"/>
      <c r="C35" s="64"/>
      <c r="D35" s="64"/>
      <c r="E35" s="42"/>
      <c r="F35" s="42"/>
      <c r="G35" s="42"/>
      <c r="H35" s="42"/>
      <c r="I35" s="42"/>
      <c r="J35" s="42"/>
      <c r="K35" s="42"/>
      <c r="L35" s="42"/>
      <c r="M35" s="42"/>
      <c r="N35" s="42"/>
      <c r="O35" s="42"/>
    </row>
    <row r="36" spans="1:15" ht="20.25" x14ac:dyDescent="0.25">
      <c r="A36" s="62"/>
      <c r="B36" s="62"/>
      <c r="C36" s="64"/>
      <c r="D36" s="64"/>
      <c r="E36" s="42"/>
      <c r="F36" s="42"/>
      <c r="G36" s="42"/>
      <c r="H36" s="42"/>
      <c r="I36" s="42"/>
      <c r="J36" s="42"/>
      <c r="K36" s="42"/>
      <c r="L36" s="42"/>
      <c r="M36" s="42"/>
      <c r="N36" s="42"/>
      <c r="O36" s="42"/>
    </row>
    <row r="37" spans="1:15" ht="20.25" x14ac:dyDescent="0.25">
      <c r="A37" s="62"/>
      <c r="B37" s="62"/>
      <c r="C37" s="64"/>
      <c r="D37" s="64"/>
      <c r="E37" s="42"/>
      <c r="F37" s="42"/>
      <c r="G37" s="42"/>
      <c r="H37" s="42"/>
      <c r="I37" s="42"/>
      <c r="J37" s="42"/>
      <c r="K37" s="42"/>
      <c r="L37" s="42"/>
      <c r="M37" s="42"/>
      <c r="N37" s="42"/>
      <c r="O37" s="42"/>
    </row>
    <row r="38" spans="1:15" ht="20.25" x14ac:dyDescent="0.25">
      <c r="A38" s="62"/>
      <c r="B38" s="62"/>
      <c r="C38" s="64"/>
      <c r="D38" s="64"/>
      <c r="E38" s="42"/>
      <c r="F38" s="42"/>
      <c r="G38" s="42"/>
      <c r="H38" s="42"/>
      <c r="I38" s="42"/>
      <c r="J38" s="42"/>
      <c r="K38" s="42"/>
      <c r="L38" s="42"/>
      <c r="M38" s="42"/>
      <c r="N38" s="42"/>
      <c r="O38" s="42"/>
    </row>
    <row r="39" spans="1:15" ht="20.25" x14ac:dyDescent="0.25">
      <c r="A39" s="62"/>
      <c r="B39" s="62"/>
      <c r="C39" s="64"/>
      <c r="D39" s="64"/>
      <c r="E39" s="42"/>
      <c r="F39" s="42"/>
      <c r="G39" s="42"/>
      <c r="H39" s="42"/>
      <c r="I39" s="42"/>
      <c r="J39" s="42"/>
      <c r="K39" s="42"/>
      <c r="L39" s="42"/>
      <c r="M39" s="42"/>
      <c r="N39" s="42"/>
      <c r="O39" s="42"/>
    </row>
    <row r="40" spans="1:15" ht="20.25" x14ac:dyDescent="0.25">
      <c r="A40" s="62"/>
      <c r="B40" s="62"/>
      <c r="C40" s="64"/>
      <c r="D40" s="64"/>
      <c r="E40" s="42"/>
      <c r="F40" s="42"/>
      <c r="G40" s="42"/>
      <c r="H40" s="42"/>
      <c r="I40" s="42"/>
      <c r="J40" s="42"/>
      <c r="K40" s="42"/>
      <c r="L40" s="42"/>
      <c r="M40" s="42"/>
      <c r="N40" s="42"/>
      <c r="O40" s="42"/>
    </row>
    <row r="41" spans="1:15" ht="20.25" x14ac:dyDescent="0.25">
      <c r="A41" s="62"/>
      <c r="B41" s="62"/>
      <c r="C41" s="64"/>
      <c r="D41" s="64"/>
      <c r="E41" s="42"/>
      <c r="F41" s="42"/>
      <c r="G41" s="42"/>
      <c r="H41" s="42"/>
      <c r="I41" s="42"/>
      <c r="J41" s="42"/>
      <c r="K41" s="42"/>
      <c r="L41" s="42"/>
      <c r="M41" s="42"/>
      <c r="N41" s="42"/>
      <c r="O41" s="42"/>
    </row>
    <row r="42" spans="1:15" ht="20.25" x14ac:dyDescent="0.25">
      <c r="A42" s="62"/>
      <c r="B42" s="62"/>
      <c r="C42" s="64"/>
      <c r="D42" s="64"/>
      <c r="E42" s="42"/>
      <c r="F42" s="42"/>
      <c r="G42" s="42"/>
      <c r="H42" s="42"/>
      <c r="I42" s="42"/>
      <c r="J42" s="42"/>
      <c r="K42" s="42"/>
      <c r="L42" s="42"/>
      <c r="M42" s="42"/>
      <c r="N42" s="42"/>
      <c r="O42" s="42"/>
    </row>
    <row r="43" spans="1:15" ht="20.25" x14ac:dyDescent="0.25">
      <c r="A43" s="62"/>
      <c r="B43" s="62"/>
      <c r="C43" s="64"/>
      <c r="D43" s="64"/>
      <c r="E43" s="42"/>
      <c r="F43" s="42"/>
      <c r="G43" s="42"/>
      <c r="H43" s="42"/>
      <c r="I43" s="42"/>
      <c r="J43" s="42"/>
      <c r="K43" s="42"/>
      <c r="L43" s="42"/>
      <c r="M43" s="42"/>
      <c r="N43" s="42"/>
      <c r="O43" s="42"/>
    </row>
    <row r="44" spans="1:15" ht="20.25" x14ac:dyDescent="0.25">
      <c r="A44" s="62"/>
      <c r="B44" s="62"/>
      <c r="C44" s="64"/>
      <c r="D44" s="64"/>
      <c r="E44" s="42"/>
      <c r="F44" s="42"/>
      <c r="G44" s="42"/>
      <c r="H44" s="42"/>
      <c r="I44" s="42"/>
      <c r="J44" s="42"/>
      <c r="K44" s="42"/>
      <c r="L44" s="42"/>
      <c r="M44" s="42"/>
      <c r="N44" s="42"/>
      <c r="O44" s="42"/>
    </row>
    <row r="45" spans="1:15" ht="20.25" x14ac:dyDescent="0.25">
      <c r="A45" s="62"/>
      <c r="B45" s="62"/>
      <c r="C45" s="64"/>
      <c r="D45" s="64"/>
      <c r="E45" s="42"/>
      <c r="F45" s="42"/>
      <c r="G45" s="42"/>
      <c r="H45" s="42"/>
      <c r="I45" s="42"/>
      <c r="J45" s="42"/>
      <c r="K45" s="42"/>
      <c r="L45" s="42"/>
      <c r="M45" s="42"/>
      <c r="N45" s="42"/>
      <c r="O45" s="42"/>
    </row>
    <row r="46" spans="1:15" ht="20.25" x14ac:dyDescent="0.25">
      <c r="A46" s="62"/>
      <c r="B46" s="62"/>
      <c r="C46" s="64"/>
      <c r="D46" s="64"/>
      <c r="E46" s="42"/>
      <c r="F46" s="42"/>
      <c r="G46" s="42"/>
      <c r="H46" s="42"/>
      <c r="I46" s="42"/>
      <c r="J46" s="42"/>
      <c r="K46" s="42"/>
      <c r="L46" s="42"/>
      <c r="M46" s="42"/>
      <c r="N46" s="42"/>
      <c r="O46" s="42"/>
    </row>
    <row r="47" spans="1:15" ht="20.25" x14ac:dyDescent="0.25">
      <c r="A47" s="62"/>
      <c r="B47" s="62"/>
      <c r="C47" s="64"/>
      <c r="D47" s="64"/>
      <c r="E47" s="42"/>
      <c r="F47" s="42"/>
      <c r="G47" s="42"/>
      <c r="H47" s="42"/>
      <c r="I47" s="42"/>
      <c r="J47" s="42"/>
      <c r="K47" s="42"/>
      <c r="L47" s="42"/>
      <c r="M47" s="42"/>
      <c r="N47" s="42"/>
      <c r="O47" s="42"/>
    </row>
    <row r="48" spans="1:15" ht="20.25" x14ac:dyDescent="0.25">
      <c r="A48" s="62"/>
      <c r="B48" s="62"/>
      <c r="C48" s="64"/>
      <c r="D48" s="64"/>
      <c r="E48" s="42"/>
      <c r="F48" s="42"/>
      <c r="G48" s="42"/>
      <c r="H48" s="42"/>
      <c r="I48" s="42"/>
      <c r="J48" s="42"/>
      <c r="K48" s="42"/>
      <c r="L48" s="42"/>
      <c r="M48" s="42"/>
      <c r="N48" s="42"/>
      <c r="O48" s="42"/>
    </row>
    <row r="49" spans="1:15" ht="20.25" x14ac:dyDescent="0.25">
      <c r="A49" s="62"/>
      <c r="B49" s="62"/>
      <c r="C49" s="64"/>
      <c r="D49" s="64"/>
      <c r="E49" s="42"/>
      <c r="F49" s="42"/>
      <c r="G49" s="42"/>
      <c r="H49" s="42"/>
      <c r="I49" s="42"/>
      <c r="J49" s="42"/>
      <c r="K49" s="42"/>
      <c r="L49" s="42"/>
      <c r="M49" s="42"/>
      <c r="N49" s="42"/>
      <c r="O49" s="42"/>
    </row>
    <row r="50" spans="1:15" ht="20.25" x14ac:dyDescent="0.25">
      <c r="A50" s="62"/>
      <c r="B50" s="62"/>
      <c r="C50" s="64"/>
      <c r="D50" s="64"/>
      <c r="E50" s="42"/>
      <c r="F50" s="42"/>
      <c r="G50" s="42"/>
      <c r="H50" s="42"/>
      <c r="I50" s="42"/>
      <c r="J50" s="42"/>
      <c r="K50" s="42"/>
      <c r="L50" s="42"/>
      <c r="M50" s="42"/>
      <c r="N50" s="42"/>
      <c r="O50" s="42"/>
    </row>
    <row r="51" spans="1:15" ht="20.25" x14ac:dyDescent="0.25">
      <c r="A51" s="62"/>
      <c r="B51" s="62"/>
      <c r="C51" s="64"/>
      <c r="D51" s="64"/>
      <c r="E51" s="42"/>
      <c r="F51" s="42"/>
      <c r="G51" s="42"/>
      <c r="H51" s="42"/>
      <c r="I51" s="42"/>
      <c r="J51" s="42"/>
      <c r="K51" s="42"/>
      <c r="L51" s="42"/>
      <c r="M51" s="42"/>
      <c r="N51" s="42"/>
      <c r="O51" s="42"/>
    </row>
    <row r="52" spans="1:15" ht="20.25" x14ac:dyDescent="0.25">
      <c r="A52" s="62"/>
      <c r="B52" s="21"/>
      <c r="C52" s="30"/>
      <c r="D52" s="30"/>
    </row>
    <row r="53" spans="1:15" ht="20.25" x14ac:dyDescent="0.25">
      <c r="A53" s="62"/>
      <c r="B53" s="21"/>
      <c r="C53" s="30"/>
      <c r="D53" s="30"/>
    </row>
    <row r="54" spans="1:15" ht="20.25" x14ac:dyDescent="0.25">
      <c r="A54" s="62"/>
      <c r="B54" s="21"/>
      <c r="C54" s="30"/>
      <c r="D54" s="30"/>
    </row>
    <row r="55" spans="1:15" ht="20.25" x14ac:dyDescent="0.25">
      <c r="A55" s="62"/>
      <c r="B55" s="21"/>
      <c r="C55" s="30"/>
      <c r="D55" s="30"/>
    </row>
    <row r="56" spans="1:15" ht="20.25" x14ac:dyDescent="0.25">
      <c r="A56" s="62"/>
      <c r="B56" s="21"/>
      <c r="C56" s="30"/>
      <c r="D56" s="30"/>
    </row>
    <row r="57" spans="1:15" ht="20.25" x14ac:dyDescent="0.25">
      <c r="A57" s="62"/>
      <c r="B57" s="21"/>
      <c r="C57" s="30"/>
      <c r="D57" s="30"/>
    </row>
    <row r="58" spans="1:15" ht="20.25" x14ac:dyDescent="0.25">
      <c r="A58" s="62"/>
      <c r="B58" s="21"/>
      <c r="C58" s="30"/>
      <c r="D58" s="30"/>
    </row>
    <row r="59" spans="1:15" ht="20.25" x14ac:dyDescent="0.25">
      <c r="A59" s="62"/>
      <c r="B59" s="21"/>
      <c r="C59" s="30"/>
      <c r="D59" s="30"/>
    </row>
    <row r="60" spans="1:15" ht="20.25" x14ac:dyDescent="0.25">
      <c r="A60" s="62"/>
      <c r="B60" s="21"/>
      <c r="C60" s="30"/>
      <c r="D60" s="30"/>
    </row>
    <row r="61" spans="1:15" ht="20.25" x14ac:dyDescent="0.25">
      <c r="A61" s="62"/>
      <c r="B61" s="21"/>
      <c r="C61" s="30"/>
      <c r="D61" s="30"/>
    </row>
    <row r="62" spans="1:15" ht="20.25" x14ac:dyDescent="0.25">
      <c r="A62" s="62"/>
      <c r="B62" s="21"/>
      <c r="C62" s="30"/>
      <c r="D62" s="30"/>
    </row>
    <row r="63" spans="1:15" ht="20.25" x14ac:dyDescent="0.25">
      <c r="A63" s="62"/>
      <c r="B63" s="21"/>
      <c r="C63" s="30"/>
      <c r="D63" s="30"/>
    </row>
    <row r="64" spans="1:15" ht="20.25" x14ac:dyDescent="0.25">
      <c r="A64" s="62"/>
      <c r="B64" s="21"/>
      <c r="C64" s="30"/>
      <c r="D64" s="30"/>
    </row>
    <row r="65" spans="1:4" ht="20.25" x14ac:dyDescent="0.25">
      <c r="A65" s="62"/>
      <c r="B65" s="21"/>
      <c r="C65" s="30"/>
      <c r="D65" s="30"/>
    </row>
    <row r="66" spans="1:4" ht="20.25" x14ac:dyDescent="0.25">
      <c r="A66" s="62"/>
      <c r="B66" s="21"/>
      <c r="C66" s="30"/>
      <c r="D66" s="30"/>
    </row>
    <row r="67" spans="1:4" ht="20.25" x14ac:dyDescent="0.25">
      <c r="A67" s="62"/>
      <c r="B67" s="21"/>
      <c r="C67" s="30"/>
      <c r="D67" s="30"/>
    </row>
    <row r="68" spans="1:4" ht="20.25" x14ac:dyDescent="0.25">
      <c r="A68" s="62"/>
      <c r="B68" s="21"/>
      <c r="C68" s="30"/>
      <c r="D68" s="30"/>
    </row>
    <row r="69" spans="1:4" ht="20.25" x14ac:dyDescent="0.25">
      <c r="A69" s="62"/>
      <c r="B69" s="21"/>
      <c r="C69" s="30"/>
      <c r="D69" s="30"/>
    </row>
    <row r="70" spans="1:4" ht="20.25" x14ac:dyDescent="0.25">
      <c r="A70" s="62"/>
      <c r="B70" s="21"/>
      <c r="C70" s="30"/>
      <c r="D70" s="30"/>
    </row>
    <row r="71" spans="1:4" ht="20.25" x14ac:dyDescent="0.25">
      <c r="A71" s="62"/>
      <c r="B71" s="21"/>
      <c r="C71" s="30"/>
      <c r="D71" s="30"/>
    </row>
    <row r="72" spans="1:4" ht="20.25" x14ac:dyDescent="0.25">
      <c r="A72" s="62"/>
      <c r="B72" s="21"/>
      <c r="C72" s="30"/>
      <c r="D72" s="30"/>
    </row>
    <row r="73" spans="1:4" ht="20.25" x14ac:dyDescent="0.25">
      <c r="A73" s="62"/>
      <c r="B73" s="21"/>
      <c r="C73" s="30"/>
      <c r="D73" s="30"/>
    </row>
    <row r="74" spans="1:4" ht="20.25" x14ac:dyDescent="0.25">
      <c r="A74" s="62"/>
      <c r="B74" s="21"/>
      <c r="C74" s="30"/>
      <c r="D74" s="30"/>
    </row>
    <row r="75" spans="1:4" ht="20.25" x14ac:dyDescent="0.25">
      <c r="A75" s="62"/>
      <c r="B75" s="21"/>
      <c r="C75" s="30"/>
      <c r="D75" s="30"/>
    </row>
    <row r="76" spans="1:4" ht="20.25" x14ac:dyDescent="0.25">
      <c r="A76" s="62"/>
      <c r="B76" s="21"/>
      <c r="C76" s="30"/>
      <c r="D76" s="30"/>
    </row>
    <row r="77" spans="1:4" ht="20.25" x14ac:dyDescent="0.25">
      <c r="A77" s="62"/>
      <c r="B77" s="21"/>
      <c r="C77" s="30"/>
      <c r="D77" s="30"/>
    </row>
    <row r="78" spans="1:4" ht="20.25" x14ac:dyDescent="0.25">
      <c r="A78" s="62"/>
      <c r="B78" s="21"/>
      <c r="C78" s="30"/>
      <c r="D78" s="30"/>
    </row>
    <row r="79" spans="1:4" ht="20.25" x14ac:dyDescent="0.25">
      <c r="A79" s="62"/>
      <c r="B79" s="21"/>
      <c r="C79" s="30"/>
      <c r="D79" s="30"/>
    </row>
    <row r="80" spans="1:4" ht="20.25" x14ac:dyDescent="0.25">
      <c r="A80" s="62"/>
      <c r="B80" s="21"/>
      <c r="C80" s="30"/>
      <c r="D80" s="30"/>
    </row>
    <row r="81" spans="1:4" ht="20.25" x14ac:dyDescent="0.25">
      <c r="A81" s="62"/>
      <c r="B81" s="21"/>
      <c r="C81" s="30"/>
      <c r="D81" s="30"/>
    </row>
    <row r="82" spans="1:4" ht="20.25" x14ac:dyDescent="0.25">
      <c r="A82" s="62"/>
      <c r="B82" s="21"/>
      <c r="C82" s="30"/>
      <c r="D82" s="30"/>
    </row>
    <row r="83" spans="1:4" ht="20.25" x14ac:dyDescent="0.25">
      <c r="A83" s="62"/>
      <c r="B83" s="21"/>
      <c r="C83" s="30"/>
      <c r="D83" s="30"/>
    </row>
    <row r="84" spans="1:4" ht="20.25" x14ac:dyDescent="0.25">
      <c r="A84" s="62"/>
      <c r="B84" s="21"/>
      <c r="C84" s="30"/>
      <c r="D84" s="30"/>
    </row>
    <row r="85" spans="1:4" ht="20.25" x14ac:dyDescent="0.25">
      <c r="A85" s="62"/>
      <c r="B85" s="21"/>
      <c r="C85" s="30"/>
      <c r="D85" s="30"/>
    </row>
    <row r="86" spans="1:4" ht="20.25" x14ac:dyDescent="0.25">
      <c r="A86" s="62"/>
      <c r="B86" s="21"/>
      <c r="C86" s="30"/>
      <c r="D86" s="30"/>
    </row>
    <row r="87" spans="1:4" ht="20.25" x14ac:dyDescent="0.25">
      <c r="A87" s="62"/>
      <c r="B87" s="21"/>
      <c r="C87" s="30"/>
      <c r="D87" s="30"/>
    </row>
    <row r="88" spans="1:4" ht="20.25" x14ac:dyDescent="0.25">
      <c r="A88" s="62"/>
      <c r="B88" s="21"/>
      <c r="C88" s="30"/>
      <c r="D88" s="30"/>
    </row>
    <row r="89" spans="1:4" ht="20.25" x14ac:dyDescent="0.25">
      <c r="A89" s="62"/>
      <c r="B89" s="21"/>
      <c r="C89" s="30"/>
      <c r="D89" s="30"/>
    </row>
    <row r="90" spans="1:4" ht="20.25" x14ac:dyDescent="0.25">
      <c r="A90" s="62"/>
      <c r="B90" s="21"/>
      <c r="C90" s="30"/>
      <c r="D90" s="30"/>
    </row>
    <row r="91" spans="1:4" ht="20.25" x14ac:dyDescent="0.25">
      <c r="A91" s="62"/>
      <c r="B91" s="21"/>
      <c r="C91" s="30"/>
      <c r="D91" s="30"/>
    </row>
    <row r="92" spans="1:4" ht="20.25" x14ac:dyDescent="0.25">
      <c r="A92" s="62"/>
      <c r="B92" s="21"/>
      <c r="C92" s="30"/>
      <c r="D92" s="30"/>
    </row>
    <row r="93" spans="1:4" ht="20.25" x14ac:dyDescent="0.25">
      <c r="A93" s="62"/>
      <c r="B93" s="21"/>
      <c r="C93" s="30"/>
      <c r="D93" s="30"/>
    </row>
    <row r="94" spans="1:4" ht="20.25" x14ac:dyDescent="0.25">
      <c r="A94" s="62"/>
      <c r="B94" s="21"/>
      <c r="C94" s="30"/>
      <c r="D94" s="30"/>
    </row>
    <row r="95" spans="1:4" ht="20.25" x14ac:dyDescent="0.25">
      <c r="A95" s="62"/>
      <c r="B95" s="21"/>
      <c r="C95" s="30"/>
      <c r="D95" s="30"/>
    </row>
    <row r="96" spans="1:4" ht="20.25" x14ac:dyDescent="0.25">
      <c r="A96" s="62"/>
      <c r="B96" s="21"/>
      <c r="C96" s="30"/>
      <c r="D96" s="30"/>
    </row>
    <row r="97" spans="1:4" ht="20.25" x14ac:dyDescent="0.25">
      <c r="A97" s="62"/>
      <c r="B97" s="21"/>
      <c r="C97" s="30"/>
      <c r="D97" s="30"/>
    </row>
    <row r="98" spans="1:4" ht="20.25" x14ac:dyDescent="0.25">
      <c r="A98" s="62"/>
      <c r="B98" s="21"/>
      <c r="C98" s="30"/>
      <c r="D98" s="30"/>
    </row>
    <row r="99" spans="1:4" ht="20.25" x14ac:dyDescent="0.25">
      <c r="A99" s="62"/>
      <c r="B99" s="21"/>
      <c r="C99" s="30"/>
      <c r="D99" s="30"/>
    </row>
    <row r="100" spans="1:4" ht="20.25" x14ac:dyDescent="0.25">
      <c r="A100" s="62"/>
      <c r="B100" s="21"/>
      <c r="C100" s="30"/>
      <c r="D100" s="30"/>
    </row>
    <row r="101" spans="1:4" ht="20.25" x14ac:dyDescent="0.25">
      <c r="A101" s="62"/>
      <c r="B101" s="21"/>
      <c r="C101" s="30"/>
      <c r="D101" s="30"/>
    </row>
    <row r="102" spans="1:4" ht="20.25" x14ac:dyDescent="0.25">
      <c r="A102" s="62"/>
      <c r="B102" s="21"/>
      <c r="C102" s="30"/>
      <c r="D102" s="30"/>
    </row>
    <row r="103" spans="1:4" ht="20.25" x14ac:dyDescent="0.25">
      <c r="A103" s="62"/>
      <c r="B103" s="21"/>
      <c r="C103" s="30"/>
      <c r="D103" s="30"/>
    </row>
    <row r="104" spans="1:4" ht="20.25" x14ac:dyDescent="0.25">
      <c r="A104" s="62"/>
      <c r="B104" s="21"/>
      <c r="C104" s="30"/>
      <c r="D104" s="30"/>
    </row>
    <row r="105" spans="1:4" ht="20.25" x14ac:dyDescent="0.25">
      <c r="A105" s="62"/>
      <c r="B105" s="21"/>
      <c r="C105" s="30"/>
      <c r="D105" s="30"/>
    </row>
    <row r="106" spans="1:4" ht="20.25" x14ac:dyDescent="0.25">
      <c r="A106" s="62"/>
      <c r="B106" s="21"/>
      <c r="C106" s="30"/>
      <c r="D106" s="30"/>
    </row>
    <row r="107" spans="1:4" ht="20.25" x14ac:dyDescent="0.25">
      <c r="A107" s="62"/>
      <c r="B107" s="21"/>
      <c r="C107" s="30"/>
      <c r="D107" s="30"/>
    </row>
    <row r="108" spans="1:4" ht="20.25" x14ac:dyDescent="0.25">
      <c r="A108" s="62"/>
      <c r="B108" s="21"/>
      <c r="C108" s="30"/>
      <c r="D108" s="30"/>
    </row>
    <row r="109" spans="1:4" ht="20.25" x14ac:dyDescent="0.25">
      <c r="A109" s="62"/>
      <c r="B109" s="21"/>
      <c r="C109" s="30"/>
      <c r="D109" s="30"/>
    </row>
    <row r="110" spans="1:4" ht="20.25" x14ac:dyDescent="0.25">
      <c r="A110" s="62"/>
      <c r="B110" s="21"/>
      <c r="C110" s="30"/>
      <c r="D110" s="30"/>
    </row>
    <row r="111" spans="1:4" ht="20.25" x14ac:dyDescent="0.25">
      <c r="A111" s="62"/>
      <c r="B111" s="21"/>
      <c r="C111" s="30"/>
      <c r="D111" s="30"/>
    </row>
    <row r="112" spans="1:4" ht="20.25" x14ac:dyDescent="0.25">
      <c r="A112" s="62"/>
      <c r="B112" s="21"/>
      <c r="C112" s="30"/>
      <c r="D112" s="30"/>
    </row>
    <row r="113" spans="1:4" ht="20.25" x14ac:dyDescent="0.25">
      <c r="A113" s="62"/>
      <c r="B113" s="21"/>
      <c r="C113" s="30"/>
      <c r="D113" s="30"/>
    </row>
    <row r="114" spans="1:4" ht="20.25" x14ac:dyDescent="0.25">
      <c r="A114" s="62"/>
      <c r="B114" s="21"/>
      <c r="C114" s="30"/>
      <c r="D114" s="30"/>
    </row>
    <row r="115" spans="1:4" ht="20.25" x14ac:dyDescent="0.25">
      <c r="A115" s="62"/>
      <c r="B115" s="21"/>
      <c r="C115" s="30"/>
      <c r="D115" s="30"/>
    </row>
    <row r="116" spans="1:4" ht="20.25" x14ac:dyDescent="0.25">
      <c r="A116" s="62"/>
      <c r="B116" s="21"/>
      <c r="C116" s="30"/>
      <c r="D116" s="30"/>
    </row>
    <row r="117" spans="1:4" ht="20.25" x14ac:dyDescent="0.25">
      <c r="A117" s="62"/>
      <c r="B117" s="21"/>
      <c r="C117" s="30"/>
      <c r="D117" s="30"/>
    </row>
    <row r="118" spans="1:4" ht="20.25" x14ac:dyDescent="0.25">
      <c r="A118" s="62"/>
      <c r="B118" s="21"/>
      <c r="C118" s="30"/>
      <c r="D118" s="30"/>
    </row>
    <row r="119" spans="1:4" ht="20.25" x14ac:dyDescent="0.25">
      <c r="A119" s="62"/>
      <c r="B119" s="21"/>
      <c r="C119" s="30"/>
      <c r="D119" s="30"/>
    </row>
    <row r="120" spans="1:4" ht="20.25" x14ac:dyDescent="0.25">
      <c r="A120" s="62"/>
      <c r="B120" s="21"/>
      <c r="C120" s="30"/>
      <c r="D120" s="30"/>
    </row>
    <row r="121" spans="1:4" ht="20.25" x14ac:dyDescent="0.25">
      <c r="A121" s="62"/>
      <c r="B121" s="21"/>
      <c r="C121" s="30"/>
      <c r="D121" s="30"/>
    </row>
    <row r="122" spans="1:4" ht="20.25" x14ac:dyDescent="0.25">
      <c r="A122" s="62"/>
      <c r="B122" s="21"/>
      <c r="C122" s="30"/>
      <c r="D122" s="30"/>
    </row>
    <row r="123" spans="1:4" ht="20.25" x14ac:dyDescent="0.25">
      <c r="A123" s="62"/>
      <c r="B123" s="21"/>
      <c r="C123" s="30"/>
      <c r="D123" s="30"/>
    </row>
    <row r="124" spans="1:4" ht="20.25" x14ac:dyDescent="0.25">
      <c r="A124" s="62"/>
      <c r="B124" s="21"/>
      <c r="C124" s="30"/>
      <c r="D124" s="30"/>
    </row>
    <row r="125" spans="1:4" ht="20.25" x14ac:dyDescent="0.25">
      <c r="A125" s="62"/>
      <c r="B125" s="21"/>
      <c r="C125" s="30"/>
      <c r="D125" s="30"/>
    </row>
    <row r="126" spans="1:4" ht="20.25" x14ac:dyDescent="0.25">
      <c r="A126" s="62"/>
      <c r="B126" s="21"/>
      <c r="C126" s="30"/>
      <c r="D126" s="30"/>
    </row>
    <row r="127" spans="1:4" ht="20.25" x14ac:dyDescent="0.25">
      <c r="A127" s="62"/>
      <c r="B127" s="21"/>
      <c r="C127" s="30"/>
      <c r="D127" s="30"/>
    </row>
    <row r="128" spans="1:4" ht="20.25" x14ac:dyDescent="0.25">
      <c r="A128" s="62"/>
      <c r="B128" s="21"/>
      <c r="C128" s="30"/>
      <c r="D128" s="30"/>
    </row>
    <row r="129" spans="1:4" ht="20.25" x14ac:dyDescent="0.25">
      <c r="A129" s="62"/>
      <c r="B129" s="21"/>
      <c r="C129" s="30"/>
      <c r="D129" s="30"/>
    </row>
    <row r="130" spans="1:4" ht="20.25" x14ac:dyDescent="0.25">
      <c r="A130" s="62"/>
      <c r="B130" s="21"/>
      <c r="C130" s="30"/>
      <c r="D130" s="30"/>
    </row>
    <row r="131" spans="1:4" ht="20.25" x14ac:dyDescent="0.25">
      <c r="A131" s="62"/>
      <c r="B131" s="21"/>
      <c r="C131" s="30"/>
      <c r="D131" s="30"/>
    </row>
    <row r="132" spans="1:4" ht="20.25" x14ac:dyDescent="0.25">
      <c r="A132" s="62"/>
      <c r="B132" s="21"/>
      <c r="C132" s="30"/>
      <c r="D132" s="30"/>
    </row>
    <row r="133" spans="1:4" ht="20.25" x14ac:dyDescent="0.25">
      <c r="A133" s="62"/>
      <c r="B133" s="21"/>
      <c r="C133" s="30"/>
      <c r="D133" s="30"/>
    </row>
    <row r="134" spans="1:4" ht="20.25" x14ac:dyDescent="0.25">
      <c r="A134" s="62"/>
      <c r="B134" s="21"/>
      <c r="C134" s="30"/>
      <c r="D134" s="30"/>
    </row>
    <row r="135" spans="1:4" ht="20.25" x14ac:dyDescent="0.25">
      <c r="A135" s="62"/>
      <c r="B135" s="21"/>
      <c r="C135" s="30"/>
      <c r="D135" s="30"/>
    </row>
    <row r="136" spans="1:4" ht="20.25" x14ac:dyDescent="0.25">
      <c r="A136" s="62"/>
      <c r="B136" s="21"/>
      <c r="C136" s="30"/>
      <c r="D136" s="30"/>
    </row>
    <row r="137" spans="1:4" ht="20.25" x14ac:dyDescent="0.25">
      <c r="A137" s="62"/>
      <c r="B137" s="21"/>
      <c r="C137" s="30"/>
      <c r="D137" s="30"/>
    </row>
    <row r="138" spans="1:4" ht="20.25" x14ac:dyDescent="0.25">
      <c r="A138" s="62"/>
      <c r="B138" s="21"/>
      <c r="C138" s="30"/>
      <c r="D138" s="30"/>
    </row>
    <row r="139" spans="1:4" ht="20.25" x14ac:dyDescent="0.25">
      <c r="A139" s="62"/>
      <c r="B139" s="21"/>
      <c r="C139" s="30"/>
      <c r="D139" s="30"/>
    </row>
    <row r="140" spans="1:4" ht="20.25" x14ac:dyDescent="0.25">
      <c r="A140" s="62"/>
      <c r="B140" s="21"/>
      <c r="C140" s="30"/>
      <c r="D140" s="30"/>
    </row>
    <row r="141" spans="1:4" ht="20.25" x14ac:dyDescent="0.25">
      <c r="A141" s="62"/>
      <c r="B141" s="21"/>
      <c r="C141" s="30"/>
      <c r="D141" s="30"/>
    </row>
    <row r="142" spans="1:4" ht="20.25" x14ac:dyDescent="0.25">
      <c r="A142" s="62"/>
      <c r="B142" s="21"/>
      <c r="C142" s="30"/>
      <c r="D142" s="30"/>
    </row>
    <row r="143" spans="1:4" ht="20.25" x14ac:dyDescent="0.25">
      <c r="A143" s="62"/>
      <c r="B143" s="21"/>
      <c r="C143" s="30"/>
      <c r="D143" s="30"/>
    </row>
    <row r="144" spans="1:4" ht="20.25" x14ac:dyDescent="0.25">
      <c r="A144" s="62"/>
      <c r="B144" s="21"/>
      <c r="C144" s="30"/>
      <c r="D144" s="30"/>
    </row>
    <row r="145" spans="1:4" ht="20.25" x14ac:dyDescent="0.25">
      <c r="A145" s="62"/>
      <c r="B145" s="21"/>
      <c r="C145" s="30"/>
      <c r="D145" s="30"/>
    </row>
    <row r="146" spans="1:4" ht="20.25" x14ac:dyDescent="0.25">
      <c r="A146" s="62"/>
      <c r="B146" s="21"/>
      <c r="C146" s="30"/>
      <c r="D146" s="30"/>
    </row>
    <row r="147" spans="1:4" ht="20.25" x14ac:dyDescent="0.25">
      <c r="A147" s="62"/>
      <c r="B147" s="21"/>
      <c r="C147" s="30"/>
      <c r="D147" s="30"/>
    </row>
    <row r="148" spans="1:4" ht="20.25" x14ac:dyDescent="0.25">
      <c r="A148" s="62"/>
      <c r="B148" s="21"/>
      <c r="C148" s="30"/>
      <c r="D148" s="30"/>
    </row>
    <row r="149" spans="1:4" ht="20.25" x14ac:dyDescent="0.25">
      <c r="A149" s="62"/>
      <c r="B149" s="21"/>
      <c r="C149" s="30"/>
      <c r="D149" s="30"/>
    </row>
    <row r="150" spans="1:4" ht="20.25" x14ac:dyDescent="0.25">
      <c r="A150" s="62"/>
      <c r="B150" s="21"/>
      <c r="C150" s="30"/>
      <c r="D150" s="30"/>
    </row>
    <row r="151" spans="1:4" ht="20.25" x14ac:dyDescent="0.25">
      <c r="A151" s="62"/>
      <c r="B151" s="21"/>
      <c r="C151" s="30"/>
      <c r="D151" s="30"/>
    </row>
    <row r="152" spans="1:4" ht="20.25" x14ac:dyDescent="0.25">
      <c r="A152" s="62"/>
      <c r="B152" s="21"/>
      <c r="C152" s="30"/>
      <c r="D152" s="30"/>
    </row>
    <row r="153" spans="1:4" ht="20.25" x14ac:dyDescent="0.25">
      <c r="A153" s="62"/>
      <c r="B153" s="21"/>
      <c r="C153" s="30"/>
      <c r="D153" s="30"/>
    </row>
    <row r="154" spans="1:4" ht="20.25" x14ac:dyDescent="0.25">
      <c r="A154" s="62"/>
      <c r="B154" s="21"/>
      <c r="C154" s="30"/>
      <c r="D154" s="30"/>
    </row>
    <row r="155" spans="1:4" ht="20.25" x14ac:dyDescent="0.25">
      <c r="A155" s="62"/>
      <c r="B155" s="21"/>
      <c r="C155" s="30"/>
      <c r="D155" s="30"/>
    </row>
    <row r="156" spans="1:4" ht="20.25" x14ac:dyDescent="0.25">
      <c r="A156" s="62"/>
      <c r="B156" s="21"/>
      <c r="C156" s="30"/>
      <c r="D156" s="30"/>
    </row>
    <row r="157" spans="1:4" ht="20.25" x14ac:dyDescent="0.25">
      <c r="A157" s="62"/>
      <c r="B157" s="21"/>
      <c r="C157" s="30"/>
      <c r="D157" s="30"/>
    </row>
    <row r="158" spans="1:4" ht="20.25" x14ac:dyDescent="0.25">
      <c r="A158" s="62"/>
      <c r="B158" s="21"/>
      <c r="C158" s="30"/>
      <c r="D158" s="30"/>
    </row>
    <row r="159" spans="1:4" ht="20.25" x14ac:dyDescent="0.25">
      <c r="A159" s="62"/>
      <c r="B159" s="21"/>
      <c r="C159" s="30"/>
      <c r="D159" s="30"/>
    </row>
    <row r="160" spans="1:4" ht="20.25" x14ac:dyDescent="0.25">
      <c r="A160" s="62"/>
      <c r="B160" s="21"/>
      <c r="C160" s="30"/>
      <c r="D160" s="30"/>
    </row>
    <row r="161" spans="1:4" ht="20.25" x14ac:dyDescent="0.25">
      <c r="A161" s="62"/>
      <c r="B161" s="21"/>
      <c r="C161" s="30"/>
      <c r="D161" s="30"/>
    </row>
    <row r="162" spans="1:4" ht="20.25" x14ac:dyDescent="0.25">
      <c r="A162" s="62"/>
      <c r="B162" s="21"/>
      <c r="C162" s="30"/>
      <c r="D162" s="30"/>
    </row>
    <row r="163" spans="1:4" ht="20.25" x14ac:dyDescent="0.25">
      <c r="A163" s="62"/>
      <c r="B163" s="21"/>
      <c r="C163" s="30"/>
      <c r="D163" s="30"/>
    </row>
    <row r="164" spans="1:4" ht="20.25" x14ac:dyDescent="0.25">
      <c r="A164" s="62"/>
      <c r="B164" s="21"/>
      <c r="C164" s="30"/>
      <c r="D164" s="30"/>
    </row>
    <row r="165" spans="1:4" ht="20.25" x14ac:dyDescent="0.25">
      <c r="A165" s="62"/>
      <c r="B165" s="21"/>
      <c r="C165" s="30"/>
      <c r="D165" s="30"/>
    </row>
    <row r="166" spans="1:4" ht="20.25" x14ac:dyDescent="0.25">
      <c r="A166" s="62"/>
      <c r="B166" s="21"/>
      <c r="C166" s="30"/>
      <c r="D166" s="30"/>
    </row>
    <row r="167" spans="1:4" ht="20.25" x14ac:dyDescent="0.25">
      <c r="A167" s="62"/>
      <c r="B167" s="21"/>
      <c r="C167" s="30"/>
      <c r="D167" s="30"/>
    </row>
    <row r="168" spans="1:4" ht="20.25" x14ac:dyDescent="0.25">
      <c r="A168" s="62"/>
      <c r="B168" s="21"/>
      <c r="C168" s="30"/>
      <c r="D168" s="30"/>
    </row>
    <row r="169" spans="1:4" ht="20.25" x14ac:dyDescent="0.25">
      <c r="A169" s="62"/>
      <c r="B169" s="21"/>
      <c r="C169" s="30"/>
      <c r="D169" s="30"/>
    </row>
    <row r="170" spans="1:4" ht="20.25" x14ac:dyDescent="0.25">
      <c r="A170" s="62"/>
      <c r="B170" s="21"/>
      <c r="C170" s="30"/>
      <c r="D170" s="30"/>
    </row>
    <row r="171" spans="1:4" ht="20.25" x14ac:dyDescent="0.25">
      <c r="A171" s="62"/>
      <c r="B171" s="21"/>
      <c r="C171" s="30"/>
      <c r="D171" s="30"/>
    </row>
    <row r="172" spans="1:4" ht="20.25" x14ac:dyDescent="0.25">
      <c r="A172" s="62"/>
      <c r="B172" s="21"/>
      <c r="C172" s="30"/>
      <c r="D172" s="30"/>
    </row>
    <row r="173" spans="1:4" ht="20.25" x14ac:dyDescent="0.25">
      <c r="A173" s="62"/>
      <c r="B173" s="21"/>
      <c r="C173" s="30"/>
      <c r="D173" s="30"/>
    </row>
    <row r="174" spans="1:4" ht="20.25" x14ac:dyDescent="0.25">
      <c r="A174" s="62"/>
      <c r="B174" s="21"/>
      <c r="C174" s="30"/>
      <c r="D174" s="30"/>
    </row>
    <row r="175" spans="1:4" ht="20.25" x14ac:dyDescent="0.25">
      <c r="A175" s="62"/>
      <c r="B175" s="21"/>
      <c r="C175" s="30"/>
      <c r="D175" s="30"/>
    </row>
    <row r="176" spans="1:4" ht="20.25" x14ac:dyDescent="0.25">
      <c r="A176" s="62"/>
      <c r="B176" s="21"/>
      <c r="C176" s="30"/>
      <c r="D176" s="30"/>
    </row>
    <row r="177" spans="1:4" ht="20.25" x14ac:dyDescent="0.25">
      <c r="A177" s="62"/>
      <c r="B177" s="21"/>
      <c r="C177" s="30"/>
      <c r="D177" s="30"/>
    </row>
    <row r="178" spans="1:4" ht="20.25" x14ac:dyDescent="0.25">
      <c r="A178" s="62"/>
      <c r="B178" s="21"/>
      <c r="C178" s="30"/>
      <c r="D178" s="30"/>
    </row>
    <row r="179" spans="1:4" ht="20.25" x14ac:dyDescent="0.25">
      <c r="A179" s="62"/>
      <c r="B179" s="21"/>
      <c r="C179" s="30"/>
      <c r="D179" s="30"/>
    </row>
    <row r="180" spans="1:4" ht="20.25" x14ac:dyDescent="0.25">
      <c r="A180" s="62"/>
      <c r="B180" s="21"/>
      <c r="C180" s="30"/>
      <c r="D180" s="30"/>
    </row>
    <row r="181" spans="1:4" ht="20.25" x14ac:dyDescent="0.25">
      <c r="A181" s="62"/>
      <c r="B181" s="21"/>
      <c r="C181" s="30"/>
      <c r="D181" s="30"/>
    </row>
    <row r="182" spans="1:4" ht="20.25" x14ac:dyDescent="0.25">
      <c r="A182" s="62"/>
      <c r="B182" s="21"/>
      <c r="C182" s="30"/>
      <c r="D182" s="30"/>
    </row>
    <row r="183" spans="1:4" ht="20.25" x14ac:dyDescent="0.25">
      <c r="A183" s="62"/>
      <c r="B183" s="21"/>
      <c r="C183" s="30"/>
      <c r="D183" s="30"/>
    </row>
    <row r="184" spans="1:4" ht="20.25" x14ac:dyDescent="0.25">
      <c r="A184" s="62"/>
      <c r="B184" s="21"/>
      <c r="C184" s="30"/>
      <c r="D184" s="30"/>
    </row>
    <row r="185" spans="1:4" ht="20.25" x14ac:dyDescent="0.25">
      <c r="A185" s="62"/>
      <c r="B185" s="21"/>
      <c r="C185" s="30"/>
      <c r="D185" s="30"/>
    </row>
    <row r="186" spans="1:4" ht="20.25" x14ac:dyDescent="0.25">
      <c r="A186" s="62"/>
      <c r="B186" s="21"/>
      <c r="C186" s="30"/>
      <c r="D186" s="30"/>
    </row>
    <row r="187" spans="1:4" ht="20.25" x14ac:dyDescent="0.25">
      <c r="A187" s="62"/>
      <c r="B187" s="21"/>
      <c r="C187" s="30"/>
      <c r="D187" s="30"/>
    </row>
    <row r="188" spans="1:4" ht="20.25" x14ac:dyDescent="0.25">
      <c r="A188" s="62"/>
      <c r="B188" s="21"/>
      <c r="C188" s="30"/>
      <c r="D188" s="30"/>
    </row>
    <row r="189" spans="1:4" ht="20.25" x14ac:dyDescent="0.25">
      <c r="A189" s="62"/>
      <c r="B189" s="21"/>
      <c r="C189" s="30"/>
      <c r="D189" s="30"/>
    </row>
    <row r="190" spans="1:4" ht="20.25" x14ac:dyDescent="0.25">
      <c r="A190" s="62"/>
      <c r="B190" s="21"/>
      <c r="C190" s="30"/>
      <c r="D190" s="30"/>
    </row>
    <row r="191" spans="1:4" ht="20.25" x14ac:dyDescent="0.25">
      <c r="A191" s="62"/>
      <c r="B191" s="21"/>
      <c r="C191" s="30"/>
      <c r="D191" s="30"/>
    </row>
    <row r="192" spans="1:4" ht="20.25" x14ac:dyDescent="0.25">
      <c r="A192" s="62"/>
      <c r="B192" s="21"/>
      <c r="C192" s="30"/>
      <c r="D192" s="30"/>
    </row>
    <row r="193" spans="1:4" ht="20.25" x14ac:dyDescent="0.25">
      <c r="A193" s="62"/>
      <c r="B193" s="21"/>
      <c r="C193" s="30"/>
      <c r="D193" s="30"/>
    </row>
    <row r="194" spans="1:4" ht="20.25" x14ac:dyDescent="0.25">
      <c r="A194" s="62"/>
      <c r="B194" s="21"/>
      <c r="C194" s="30"/>
      <c r="D194" s="30"/>
    </row>
    <row r="195" spans="1:4" ht="20.25" x14ac:dyDescent="0.25">
      <c r="A195" s="62"/>
      <c r="B195" s="21"/>
      <c r="C195" s="30"/>
      <c r="D195" s="30"/>
    </row>
    <row r="196" spans="1:4" ht="20.25" x14ac:dyDescent="0.25">
      <c r="A196" s="62"/>
      <c r="B196" s="21"/>
      <c r="C196" s="30"/>
      <c r="D196" s="30"/>
    </row>
    <row r="197" spans="1:4" ht="20.25" x14ac:dyDescent="0.25">
      <c r="A197" s="62"/>
      <c r="B197" s="21"/>
      <c r="C197" s="30"/>
      <c r="D197" s="30"/>
    </row>
    <row r="198" spans="1:4" ht="20.25" x14ac:dyDescent="0.25">
      <c r="A198" s="62"/>
      <c r="B198" s="21"/>
      <c r="C198" s="30"/>
      <c r="D198" s="30"/>
    </row>
    <row r="199" spans="1:4" ht="20.25" x14ac:dyDescent="0.25">
      <c r="A199" s="62"/>
      <c r="B199" s="21"/>
      <c r="C199" s="30"/>
      <c r="D199" s="30"/>
    </row>
    <row r="200" spans="1:4" ht="20.25" x14ac:dyDescent="0.25">
      <c r="A200" s="62"/>
      <c r="B200" s="21"/>
      <c r="C200" s="30"/>
      <c r="D200" s="30"/>
    </row>
    <row r="201" spans="1:4" ht="20.25" x14ac:dyDescent="0.25">
      <c r="A201" s="62"/>
      <c r="B201" s="21"/>
      <c r="C201" s="30"/>
      <c r="D201" s="30"/>
    </row>
    <row r="202" spans="1:4" ht="20.25" x14ac:dyDescent="0.25">
      <c r="A202" s="62"/>
      <c r="B202" s="21"/>
      <c r="C202" s="30"/>
      <c r="D202" s="30"/>
    </row>
    <row r="203" spans="1:4" ht="20.25" x14ac:dyDescent="0.25">
      <c r="A203" s="62"/>
      <c r="B203" s="21"/>
      <c r="C203" s="30"/>
      <c r="D203" s="30"/>
    </row>
    <row r="204" spans="1:4" ht="20.25" x14ac:dyDescent="0.25">
      <c r="A204" s="62"/>
      <c r="B204" s="21"/>
      <c r="C204" s="30"/>
      <c r="D204" s="30"/>
    </row>
    <row r="205" spans="1:4" ht="20.25" x14ac:dyDescent="0.25">
      <c r="A205" s="62"/>
      <c r="B205" s="21"/>
      <c r="C205" s="30"/>
      <c r="D205" s="30"/>
    </row>
    <row r="206" spans="1:4" ht="20.25" x14ac:dyDescent="0.25">
      <c r="A206" s="62"/>
      <c r="B206" s="21"/>
      <c r="C206" s="30"/>
      <c r="D206" s="30"/>
    </row>
    <row r="207" spans="1:4" ht="20.25" x14ac:dyDescent="0.25">
      <c r="A207" s="62"/>
      <c r="B207" s="21"/>
      <c r="C207" s="30"/>
      <c r="D207" s="30"/>
    </row>
    <row r="208" spans="1:4" x14ac:dyDescent="0.25">
      <c r="A208" s="42"/>
      <c r="B208" s="21"/>
      <c r="C208" s="21"/>
      <c r="D208" s="21"/>
    </row>
    <row r="209" spans="1:8" ht="20.25" x14ac:dyDescent="0.25">
      <c r="A209" s="42"/>
      <c r="B209" s="26" t="s">
        <v>86</v>
      </c>
      <c r="C209" s="26" t="s">
        <v>140</v>
      </c>
      <c r="D209" s="29" t="s">
        <v>86</v>
      </c>
      <c r="E209" s="29" t="s">
        <v>140</v>
      </c>
    </row>
    <row r="210" spans="1:8" ht="21" x14ac:dyDescent="0.35">
      <c r="A210" s="42"/>
      <c r="B210" s="27" t="s">
        <v>88</v>
      </c>
      <c r="C210" s="27" t="s">
        <v>56</v>
      </c>
      <c r="D210" t="s">
        <v>88</v>
      </c>
      <c r="F210" t="str">
        <f>IF(NOT(ISBLANK(D210)),D210,IF(NOT(ISBLANK(E210)),"     "&amp;E210,FALSE))</f>
        <v>Afectación Económica o presupuestal</v>
      </c>
      <c r="G210" t="s">
        <v>88</v>
      </c>
      <c r="H210" t="str">
        <f>IF(NOT(ISERROR(MATCH(G210,_xlfn.ANCHORARRAY(B221),0))),F223&amp;"Por favor no seleccionar los criterios de impacto",G210)</f>
        <v>❌Por favor no seleccionar los criterios de impacto</v>
      </c>
    </row>
    <row r="211" spans="1:8" ht="21" x14ac:dyDescent="0.35">
      <c r="A211" s="42"/>
      <c r="B211" s="27" t="s">
        <v>88</v>
      </c>
      <c r="C211" s="27" t="s">
        <v>91</v>
      </c>
      <c r="E211" t="s">
        <v>56</v>
      </c>
      <c r="F211" t="str">
        <f t="shared" ref="F211:F221" si="0">IF(NOT(ISBLANK(D211)),D211,IF(NOT(ISBLANK(E211)),"     "&amp;E211,FALSE))</f>
        <v xml:space="preserve">     Afectación menor a 10 SMLMV .</v>
      </c>
    </row>
    <row r="212" spans="1:8" ht="21" x14ac:dyDescent="0.35">
      <c r="A212" s="42"/>
      <c r="B212" s="27" t="s">
        <v>88</v>
      </c>
      <c r="C212" s="27" t="s">
        <v>92</v>
      </c>
      <c r="E212" t="s">
        <v>91</v>
      </c>
      <c r="F212" t="str">
        <f t="shared" si="0"/>
        <v xml:space="preserve">     Entre 10 y 50 SMLMV </v>
      </c>
    </row>
    <row r="213" spans="1:8" ht="21" x14ac:dyDescent="0.35">
      <c r="A213" s="42"/>
      <c r="B213" s="27" t="s">
        <v>88</v>
      </c>
      <c r="C213" s="27" t="s">
        <v>93</v>
      </c>
      <c r="E213" t="s">
        <v>92</v>
      </c>
      <c r="F213" t="str">
        <f t="shared" si="0"/>
        <v xml:space="preserve">     Entre 50 y 100 SMLMV </v>
      </c>
    </row>
    <row r="214" spans="1:8" ht="21" x14ac:dyDescent="0.35">
      <c r="A214" s="42"/>
      <c r="B214" s="27" t="s">
        <v>88</v>
      </c>
      <c r="C214" s="27" t="s">
        <v>94</v>
      </c>
      <c r="E214" t="s">
        <v>93</v>
      </c>
      <c r="F214" t="str">
        <f t="shared" si="0"/>
        <v xml:space="preserve">     Entre 100 y 500 SMLMV </v>
      </c>
    </row>
    <row r="215" spans="1:8" ht="21" x14ac:dyDescent="0.35">
      <c r="A215" s="42"/>
      <c r="B215" s="27" t="s">
        <v>55</v>
      </c>
      <c r="C215" s="27" t="s">
        <v>95</v>
      </c>
      <c r="E215" t="s">
        <v>94</v>
      </c>
      <c r="F215" t="str">
        <f t="shared" si="0"/>
        <v xml:space="preserve">     Mayor a 500 SMLMV </v>
      </c>
    </row>
    <row r="216" spans="1:8" ht="21" x14ac:dyDescent="0.35">
      <c r="A216" s="42"/>
      <c r="B216" s="27" t="s">
        <v>55</v>
      </c>
      <c r="C216" s="27" t="s">
        <v>96</v>
      </c>
      <c r="D216" t="s">
        <v>55</v>
      </c>
      <c r="F216" t="str">
        <f t="shared" si="0"/>
        <v>Pérdida Reputacional</v>
      </c>
    </row>
    <row r="217" spans="1:8" ht="21" x14ac:dyDescent="0.35">
      <c r="A217" s="42"/>
      <c r="B217" s="27" t="s">
        <v>55</v>
      </c>
      <c r="C217" s="27" t="s">
        <v>98</v>
      </c>
      <c r="E217" t="s">
        <v>95</v>
      </c>
      <c r="F217" t="str">
        <f t="shared" si="0"/>
        <v xml:space="preserve">     El riesgo afecta la imagen de alguna área de la organización</v>
      </c>
    </row>
    <row r="218" spans="1:8" ht="21" x14ac:dyDescent="0.35">
      <c r="A218" s="42"/>
      <c r="B218" s="27" t="s">
        <v>55</v>
      </c>
      <c r="C218" s="27" t="s">
        <v>97</v>
      </c>
      <c r="E218" t="s">
        <v>96</v>
      </c>
      <c r="F218" t="str">
        <f t="shared" si="0"/>
        <v xml:space="preserve">     El riesgo afecta la imagen de la entidad internamente, de conocimiento general, nivel interno, de junta dircetiva y accionistas y/o de provedores</v>
      </c>
    </row>
    <row r="219" spans="1:8" ht="21" x14ac:dyDescent="0.35">
      <c r="A219" s="42"/>
      <c r="B219" s="27" t="s">
        <v>55</v>
      </c>
      <c r="C219" s="27" t="s">
        <v>116</v>
      </c>
      <c r="E219" t="s">
        <v>98</v>
      </c>
      <c r="F219" t="str">
        <f t="shared" si="0"/>
        <v xml:space="preserve">     El riesgo afecta la imagen de la entidad con algunos usuarios de relevancia frente al logro de los objetivos</v>
      </c>
    </row>
    <row r="220" spans="1:8" x14ac:dyDescent="0.25">
      <c r="A220" s="42"/>
      <c r="B220" s="28"/>
      <c r="C220" s="28"/>
      <c r="E220" t="s">
        <v>97</v>
      </c>
      <c r="F220" t="str">
        <f t="shared" si="0"/>
        <v xml:space="preserve">     El riesgo afecta la imagen de de la entidad con efecto publicitario sostenido a nivel de sector administrativo, nivel departamental o municipal</v>
      </c>
    </row>
    <row r="221" spans="1:8" x14ac:dyDescent="0.25">
      <c r="A221" s="42"/>
      <c r="B221" s="28" t="str" cm="1">
        <f t="array" ref="B221:B223">_xlfn.UNIQUE(Tabla1[[#All],[Criterios]])</f>
        <v>Criterios</v>
      </c>
      <c r="C221" s="28"/>
      <c r="E221" t="s">
        <v>116</v>
      </c>
      <c r="F221" t="str">
        <f t="shared" si="0"/>
        <v xml:space="preserve">     El riesgo afecta la imagen de la entidad a nivel nacional, con efecto publicitarios sostenible a nivel país</v>
      </c>
    </row>
    <row r="222" spans="1:8" x14ac:dyDescent="0.25">
      <c r="A222" s="42"/>
      <c r="B222" s="28" t="str">
        <v>Afectación Económica o presupuestal</v>
      </c>
      <c r="C222" s="28"/>
    </row>
    <row r="223" spans="1:8" x14ac:dyDescent="0.25">
      <c r="B223" s="28" t="str">
        <v>Pérdida Reputacional</v>
      </c>
      <c r="C223" s="28"/>
      <c r="F223" s="31" t="s">
        <v>142</v>
      </c>
    </row>
    <row r="224" spans="1:8" x14ac:dyDescent="0.25">
      <c r="B224" s="20"/>
      <c r="C224" s="20"/>
      <c r="F224" s="31" t="s">
        <v>143</v>
      </c>
    </row>
    <row r="225" spans="2:4" x14ac:dyDescent="0.25">
      <c r="B225" s="20"/>
      <c r="C225" s="20"/>
    </row>
    <row r="226" spans="2:4" x14ac:dyDescent="0.25">
      <c r="B226" s="20"/>
      <c r="C226" s="20"/>
    </row>
    <row r="227" spans="2:4" x14ac:dyDescent="0.25">
      <c r="B227" s="20"/>
      <c r="C227" s="20"/>
      <c r="D227" s="20"/>
    </row>
    <row r="228" spans="2:4" x14ac:dyDescent="0.25">
      <c r="B228" s="20"/>
      <c r="C228" s="20"/>
      <c r="D228" s="20"/>
    </row>
    <row r="229" spans="2:4" x14ac:dyDescent="0.25">
      <c r="B229" s="20"/>
      <c r="C229" s="20"/>
      <c r="D229" s="20"/>
    </row>
    <row r="230" spans="2:4" x14ac:dyDescent="0.25">
      <c r="B230" s="20"/>
      <c r="C230" s="20"/>
      <c r="D230" s="20"/>
    </row>
    <row r="231" spans="2:4" x14ac:dyDescent="0.25">
      <c r="B231" s="20"/>
      <c r="C231" s="20"/>
      <c r="D231" s="20"/>
    </row>
    <row r="232" spans="2:4" x14ac:dyDescent="0.25">
      <c r="B232" s="20"/>
      <c r="C232" s="20"/>
      <c r="D232" s="20"/>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25"/>
  <sheetViews>
    <sheetView workbookViewId="0">
      <selection activeCell="H6" sqref="H6"/>
    </sheetView>
  </sheetViews>
  <sheetFormatPr baseColWidth="10" defaultColWidth="14.28515625" defaultRowHeight="12.75" x14ac:dyDescent="0.2"/>
  <cols>
    <col min="1" max="2" width="14.28515625" style="47"/>
    <col min="3" max="3" width="17" style="47" customWidth="1"/>
    <col min="4" max="4" width="14.28515625" style="47"/>
    <col min="5" max="5" width="46" style="47" customWidth="1"/>
    <col min="6" max="16384" width="14.28515625" style="47"/>
  </cols>
  <sheetData>
    <row r="1" spans="2:6" ht="24" customHeight="1" thickBot="1" x14ac:dyDescent="0.25">
      <c r="B1" s="584" t="s">
        <v>76</v>
      </c>
      <c r="C1" s="585"/>
      <c r="D1" s="585"/>
      <c r="E1" s="585"/>
      <c r="F1" s="586"/>
    </row>
    <row r="2" spans="2:6" ht="16.5" thickBot="1" x14ac:dyDescent="0.3">
      <c r="B2" s="48"/>
      <c r="C2" s="48"/>
      <c r="D2" s="48"/>
      <c r="E2" s="48"/>
      <c r="F2" s="48"/>
    </row>
    <row r="3" spans="2:6" ht="16.5" thickBot="1" x14ac:dyDescent="0.25">
      <c r="B3" s="588" t="s">
        <v>62</v>
      </c>
      <c r="C3" s="589"/>
      <c r="D3" s="589"/>
      <c r="E3" s="60" t="s">
        <v>63</v>
      </c>
      <c r="F3" s="61" t="s">
        <v>64</v>
      </c>
    </row>
    <row r="4" spans="2:6" ht="31.5" x14ac:dyDescent="0.2">
      <c r="B4" s="590" t="s">
        <v>65</v>
      </c>
      <c r="C4" s="592" t="s">
        <v>13</v>
      </c>
      <c r="D4" s="49" t="s">
        <v>14</v>
      </c>
      <c r="E4" s="50" t="s">
        <v>66</v>
      </c>
      <c r="F4" s="51">
        <v>0.25</v>
      </c>
    </row>
    <row r="5" spans="2:6" ht="47.25" x14ac:dyDescent="0.2">
      <c r="B5" s="591"/>
      <c r="C5" s="593"/>
      <c r="D5" s="52" t="s">
        <v>15</v>
      </c>
      <c r="E5" s="53" t="s">
        <v>67</v>
      </c>
      <c r="F5" s="54">
        <v>0.15</v>
      </c>
    </row>
    <row r="6" spans="2:6" ht="47.25" x14ac:dyDescent="0.2">
      <c r="B6" s="591"/>
      <c r="C6" s="593"/>
      <c r="D6" s="52" t="s">
        <v>16</v>
      </c>
      <c r="E6" s="53" t="s">
        <v>68</v>
      </c>
      <c r="F6" s="54">
        <v>0.1</v>
      </c>
    </row>
    <row r="7" spans="2:6" ht="63" x14ac:dyDescent="0.2">
      <c r="B7" s="591"/>
      <c r="C7" s="593" t="s">
        <v>17</v>
      </c>
      <c r="D7" s="52" t="s">
        <v>10</v>
      </c>
      <c r="E7" s="53" t="s">
        <v>69</v>
      </c>
      <c r="F7" s="54">
        <v>0.25</v>
      </c>
    </row>
    <row r="8" spans="2:6" ht="31.5" x14ac:dyDescent="0.2">
      <c r="B8" s="591"/>
      <c r="C8" s="593"/>
      <c r="D8" s="52" t="s">
        <v>9</v>
      </c>
      <c r="E8" s="53" t="s">
        <v>70</v>
      </c>
      <c r="F8" s="54">
        <v>0.15</v>
      </c>
    </row>
    <row r="9" spans="2:6" ht="47.25" x14ac:dyDescent="0.2">
      <c r="B9" s="591" t="s">
        <v>157</v>
      </c>
      <c r="C9" s="593" t="s">
        <v>18</v>
      </c>
      <c r="D9" s="52" t="s">
        <v>19</v>
      </c>
      <c r="E9" s="53" t="s">
        <v>71</v>
      </c>
      <c r="F9" s="55" t="s">
        <v>72</v>
      </c>
    </row>
    <row r="10" spans="2:6" ht="63" x14ac:dyDescent="0.2">
      <c r="B10" s="591"/>
      <c r="C10" s="593"/>
      <c r="D10" s="52" t="s">
        <v>20</v>
      </c>
      <c r="E10" s="53" t="s">
        <v>73</v>
      </c>
      <c r="F10" s="55" t="s">
        <v>72</v>
      </c>
    </row>
    <row r="11" spans="2:6" ht="47.25" x14ac:dyDescent="0.2">
      <c r="B11" s="591"/>
      <c r="C11" s="593" t="s">
        <v>21</v>
      </c>
      <c r="D11" s="52" t="s">
        <v>22</v>
      </c>
      <c r="E11" s="53" t="s">
        <v>74</v>
      </c>
      <c r="F11" s="55" t="s">
        <v>72</v>
      </c>
    </row>
    <row r="12" spans="2:6" ht="47.25" x14ac:dyDescent="0.2">
      <c r="B12" s="591"/>
      <c r="C12" s="593"/>
      <c r="D12" s="52" t="s">
        <v>23</v>
      </c>
      <c r="E12" s="53" t="s">
        <v>75</v>
      </c>
      <c r="F12" s="55" t="s">
        <v>72</v>
      </c>
    </row>
    <row r="13" spans="2:6" ht="31.5" x14ac:dyDescent="0.2">
      <c r="B13" s="591"/>
      <c r="C13" s="593" t="s">
        <v>24</v>
      </c>
      <c r="D13" s="52" t="s">
        <v>117</v>
      </c>
      <c r="E13" s="53" t="s">
        <v>120</v>
      </c>
      <c r="F13" s="55" t="s">
        <v>72</v>
      </c>
    </row>
    <row r="14" spans="2:6" ht="32.25" thickBot="1" x14ac:dyDescent="0.25">
      <c r="B14" s="594"/>
      <c r="C14" s="595"/>
      <c r="D14" s="56" t="s">
        <v>118</v>
      </c>
      <c r="E14" s="57" t="s">
        <v>119</v>
      </c>
      <c r="F14" s="58" t="s">
        <v>72</v>
      </c>
    </row>
    <row r="15" spans="2:6" ht="49.5" customHeight="1" x14ac:dyDescent="0.2">
      <c r="B15" s="587" t="s">
        <v>154</v>
      </c>
      <c r="C15" s="587"/>
      <c r="D15" s="587"/>
      <c r="E15" s="587"/>
      <c r="F15" s="587"/>
    </row>
    <row r="16" spans="2:6" ht="27" customHeight="1" x14ac:dyDescent="0.25">
      <c r="B16" s="59"/>
    </row>
    <row r="19" spans="4:4" ht="15" x14ac:dyDescent="0.25">
      <c r="D19" t="s">
        <v>504</v>
      </c>
    </row>
    <row r="22" spans="4:4" x14ac:dyDescent="0.2">
      <c r="D22" s="159">
        <v>0.6</v>
      </c>
    </row>
    <row r="23" spans="4:4" x14ac:dyDescent="0.2">
      <c r="D23" s="159">
        <v>0.4</v>
      </c>
    </row>
    <row r="24" spans="4:4" x14ac:dyDescent="0.2">
      <c r="D24" s="160">
        <f>+D22*D23</f>
        <v>0.24</v>
      </c>
    </row>
    <row r="25" spans="4:4" x14ac:dyDescent="0.2">
      <c r="D25" s="159">
        <f>+D22-D24</f>
        <v>0.36</v>
      </c>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129</v>
      </c>
    </row>
    <row r="3" spans="2:5" x14ac:dyDescent="0.25">
      <c r="B3" t="s">
        <v>32</v>
      </c>
      <c r="E3" t="s">
        <v>128</v>
      </c>
    </row>
    <row r="4" spans="2:5" x14ac:dyDescent="0.25">
      <c r="B4" t="s">
        <v>133</v>
      </c>
      <c r="E4" t="s">
        <v>130</v>
      </c>
    </row>
    <row r="5" spans="2:5" x14ac:dyDescent="0.25">
      <c r="B5" t="s">
        <v>132</v>
      </c>
    </row>
    <row r="8" spans="2:5" x14ac:dyDescent="0.25">
      <c r="B8" t="s">
        <v>84</v>
      </c>
    </row>
    <row r="9" spans="2:5" x14ac:dyDescent="0.25">
      <c r="B9" t="s">
        <v>40</v>
      </c>
    </row>
    <row r="10" spans="2:5" x14ac:dyDescent="0.25">
      <c r="B10" t="s">
        <v>41</v>
      </c>
    </row>
    <row r="13" spans="2:5" x14ac:dyDescent="0.25">
      <c r="B13" t="s">
        <v>127</v>
      </c>
    </row>
    <row r="14" spans="2:5" x14ac:dyDescent="0.25">
      <c r="B14" t="s">
        <v>121</v>
      </c>
    </row>
    <row r="15" spans="2:5" x14ac:dyDescent="0.25">
      <c r="B15" t="s">
        <v>124</v>
      </c>
    </row>
    <row r="16" spans="2:5" x14ac:dyDescent="0.25">
      <c r="B16" t="s">
        <v>122</v>
      </c>
    </row>
    <row r="17" spans="2:2" x14ac:dyDescent="0.25">
      <c r="B17" t="s">
        <v>123</v>
      </c>
    </row>
    <row r="18" spans="2:2" x14ac:dyDescent="0.25">
      <c r="B18" t="s">
        <v>125</v>
      </c>
    </row>
    <row r="19" spans="2:2" x14ac:dyDescent="0.25">
      <c r="B19" t="s">
        <v>126</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7" customWidth="1"/>
    <col min="2" max="16384" width="11.42578125" style="7"/>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Hector Cadena Velasquez</cp:lastModifiedBy>
  <cp:lastPrinted>2020-05-13T01:12:22Z</cp:lastPrinted>
  <dcterms:created xsi:type="dcterms:W3CDTF">2020-03-24T23:12:47Z</dcterms:created>
  <dcterms:modified xsi:type="dcterms:W3CDTF">2021-11-26T20:10:09Z</dcterms:modified>
</cp:coreProperties>
</file>